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drawingml.chart+xml" PartName="/xl/charts/chart1.xml"/>
  <Override ContentType="application/vnd.openxmlformats-officedocument.drawingml.chart+xml" PartName="/xl/charts/chart4.xml"/>
  <Override ContentType="application/vnd.openxmlformats-officedocument.drawingml.chart+xml" PartName="/xl/charts/chart3.xml"/>
  <Override ContentType="application/vnd.openxmlformats-officedocument.drawingml.chart+xml" PartName="/xl/charts/chart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tart here" sheetId="1" r:id="rId5"/>
    <sheet state="visible" name="Inputs" sheetId="2" r:id="rId6"/>
    <sheet state="visible" name="Rep capacity" sheetId="3" r:id="rId7"/>
    <sheet state="visible" name="Hiring plan" sheetId="4" r:id="rId8"/>
    <sheet state="visible" name="Capacity" sheetId="5" r:id="rId9"/>
    <sheet state="visible" name="Funnel" sheetId="6" r:id="rId10"/>
    <sheet state="visible" name="ARR" sheetId="7" r:id="rId11"/>
    <sheet state="visible" name="Cost" sheetId="8" r:id="rId12"/>
    <sheet state="visible" name="Notes" sheetId="9" r:id="rId13"/>
  </sheets>
  <definedNames/>
  <calcPr/>
</workbook>
</file>

<file path=xl/sharedStrings.xml><?xml version="1.0" encoding="utf-8"?>
<sst xmlns="http://schemas.openxmlformats.org/spreadsheetml/2006/main" count="1030" uniqueCount="645">
  <si>
    <t>Start here: a 24-month ARR plan with street quota, a hiring solver, a funnel check, a forecast and its cost, all traced back to one Inputs tab</t>
  </si>
  <si>
    <t>All defaults are illustrative for a B2B SaaS company at roughly $9M ARR and do not describe any real company. Growth targets are deliberately ambitious; productivity, retention and cost inputs sit near public B2B SaaS benchmarks.</t>
  </si>
  <si>
    <t>Executive summary</t>
  </si>
  <si>
    <t>Target</t>
  </si>
  <si>
    <t>Plan of record</t>
  </si>
  <si>
    <t>Forecast</t>
  </si>
  <si>
    <t>Forecast minus target</t>
  </si>
  <si>
    <t>Net new ARR, year 1 ($)</t>
  </si>
  <si>
    <t>Net new ARR, year 2 ($)</t>
  </si>
  <si>
    <t>Ending ARR, month 12 ($)</t>
  </si>
  <si>
    <t>Ending ARR, month 24 ($)</t>
  </si>
  <si>
    <t>Try it</t>
  </si>
  <si>
    <t>Make a copy first (File &gt; Make a copy); the shared view is read-only. At the defaults the live values equal the baseline, so the forecast equals the plan of record and the two chart lines overlap.</t>
  </si>
  <si>
    <t>First test: set Inputs E24 (SMB live win rate) to 24%. The forecast, the funnel flags and the unit economics move; quota, hiring and the plan of record do not. More one-cell tests start at row 73.</t>
  </si>
  <si>
    <t>Hiring summary by segment</t>
  </si>
  <si>
    <t>SMB</t>
  </si>
  <si>
    <t>Mid-market</t>
  </si>
  <si>
    <t>Enterprise</t>
  </si>
  <si>
    <t>Total</t>
  </si>
  <si>
    <t>Recommended starts, year 1</t>
  </si>
  <si>
    <t>Recommended starts, year 2</t>
  </si>
  <si>
    <t>Month 12 plan of record minus segment target ($)</t>
  </si>
  <si>
    <t>Month 24 plan of record minus segment target ($), cumulative: includes year 1 carryover</t>
  </si>
  <si>
    <t>Month 12 forecast minus segment target ($)</t>
  </si>
  <si>
    <t>Month 24 forecast minus segment target ($), cumulative: includes year 1 carryover</t>
  </si>
  <si>
    <t>Unit economics (Cost tab)</t>
  </si>
  <si>
    <t>Year 1, plan of record</t>
  </si>
  <si>
    <t>Year 1, forecast</t>
  </si>
  <si>
    <t>Year 2, plan of record</t>
  </si>
  <si>
    <t>Year 2, forecast</t>
  </si>
  <si>
    <t>Sales and marketing spend ($)</t>
  </si>
  <si>
    <t>Magic number (x) = net new ARR / same-year spend</t>
  </si>
  <si>
    <t>New-logo ARR ($)</t>
  </si>
  <si>
    <t>Charts (ARR trajectory against the target line; quarterly new ARR by segment)</t>
  </si>
  <si>
    <t>What this is</t>
  </si>
  <si>
    <t>A bottom-up plan: street quota from what a rep can work and win, a team sized by a cohort solver, a funnel that must support the plan, and an ARR roll-forward with its sales and marketing cost.</t>
  </si>
  <si>
    <t>Inputs -&gt; Rep capacity (street quota, rep cost) -&gt; Hiring plan (recommended starts) -&gt; Capacity (plan of record and bookings at scenario inputs) -&gt; Funnel (checks) -&gt; ARR (forecast against target) -&gt; Cost (spend and unit economics).</t>
  </si>
  <si>
    <t>Every number on every tab is a formula that traces back to a blue cell on Inputs.</t>
  </si>
  <si>
    <t>The plan of record is what the recommended team delivers at the baseline values. The forecast is what the team in use delivers at the live values, capped by what the funnel can close. Notes has a short glossary.</t>
  </si>
  <si>
    <t>Targets are year-end ARR, fixed at the start. The solver rounds up to whole people, so the plan of record lands at or above both year-end targets unless the hiring class size (Inputs row 14) binds; a year 1 overshoot reduces year 2 hiring.</t>
  </si>
  <si>
    <t>Two kinds of inputs</t>
  </si>
  <si>
    <t>Each assumption is one row on Inputs (rows 24 to 46): the baseline value in columns B to D (white cells) and the live value in columns E to G (pale yellow cells).</t>
  </si>
  <si>
    <t>Baseline values set the plan once: street quota, the recommended hire schedule and the plan of record. To re-plan, change the baseline and type the same value in the live column; otherwise the forecast keeps testing the old assumption against the new plan.</t>
  </si>
  <si>
    <t>Live values describe what actually happens: win rate, deal size, conversion, cycle, hours, ramp, attrition, retention, cost per lead, opening pipeline, queue survival and lead commits.</t>
  </si>
  <si>
    <t>Change a live value to stress test: implied attainment, the funnel checks and the forecast move; quota, recommended starts and the plan of record stay put.</t>
  </si>
  <si>
    <t>Live cells default to the baseline values. A live cell that differs from the baseline on its row turns amber; copy the baseline value back to reset it. Grey cells mark the side a row does not use. Failed checks and negative variances also show in amber.</t>
  </si>
  <si>
    <t>The live scorecard on Inputs (columns J to R, rows 7 to 39) shows target, plan of record, forecast and unit economics without leaving the tab.</t>
  </si>
  <si>
    <t>How to use it</t>
  </si>
  <si>
    <t>1. Set the baseline on Inputs: starting ARR and the two targets (rows 8 to 10), the two mixes (rows 18 and 20), and the baseline columns B to D (rows 24 to 39).</t>
  </si>
  <si>
    <t>2. Check Rep capacity: street quota (row 13), the quota to OTE check (row 17, should read OK) and over-assignment (row 18). If quota looks wrong, fix the baseline columns on Inputs, not this tab.</t>
  </si>
  <si>
    <t>3. Read the Hiring plan summary (rows 6 to 63): recommended hires, the gap they close and the overshoot or shortfall per segment and year.</t>
  </si>
  <si>
    <t>4. If hiring is constrained, type the real starts in Inputs rows 63 to 65 (0 = no start). The shortfall, extra hires and late hires show on the Hiring plan.</t>
  </si>
  <si>
    <t>5. Set the live values on Inputs columns E to G (rows 24 to 44, and cost per lead in row 49), or a monthly lead override in rows 71 to 73.</t>
  </si>
  <si>
    <t>6. Read the Funnel quarterly block (rows 7 to 39): coverage against each segment's target, sufficiency, the queue and what the queue lost. Use the row groups (the + and - at the left edge) to show or hide the monthly detail.</t>
  </si>
  <si>
    <t>7. Read the ARR summary (rows 5 to 11): target, plan of record, forecast and the variances. The charts here and on ARR follow it.</t>
  </si>
  <si>
    <t>8. Read the Cost summary (rows 5 to 10): what the plan of record and the forecast spend, the magic number and CAC payback. Cost assumptions are Inputs rows 48 to 53.</t>
  </si>
  <si>
    <t>9. Repeat until the plan of record, the pipeline, the hires, the forecast and the cost hold together. Record the source of each assumption in the Notes evidence log.</t>
  </si>
  <si>
    <t>Common questions and the one cell to change</t>
  </si>
  <si>
    <t>Cell to change</t>
  </si>
  <si>
    <t>What you will see</t>
  </si>
  <si>
    <t>Win rate drops in a segment</t>
  </si>
  <si>
    <t>Inputs E24:G24 (live win rate)</t>
  </si>
  <si>
    <t>Street quota (Rep capacity row 13) does not move. Implied attainment (row 32) falls, bookings at scenario inputs and the forecast fall, and the coverage target rises. Forecast lead spend rises too, because paced leads cover the plan at the lower win rate. The extra SQLs queue once they exceed what the team can work, and above the tolerance (Inputs B13) the Rep load flag fires.</t>
  </si>
  <si>
    <t>Reps have fewer hours on open opportunities</t>
  </si>
  <si>
    <t>Inputs E26:G26 (live hours on open opportunities)</t>
  </si>
  <si>
    <t>The SQL cap falls and rep load rises, so SQLs queue and bookings at scenario inputs and the forecast fall. Street quota and the plan of record do not move.</t>
  </si>
  <si>
    <t>Marketing commits a flat number</t>
  </si>
  <si>
    <t>Set Inputs B11 to Flat commit</t>
  </si>
  <si>
    <t>Where the flat number runs ahead of the requirement, SQLs queue and the Rep load flag can fire; where it runs behind, coverage drops below target and the Pipeline flag fires. The timing differs by segment (ARR tab, months flagged). The forecast falls below the plan of record.</t>
  </si>
  <si>
    <t>Marketing delivers fewer leads in some months</t>
  </si>
  <si>
    <t>Inputs rows 71 to 73 (monthly lead overrides)</t>
  </si>
  <si>
    <t>Those months produce fewer SQLs; coverage one cycle later falls and the forecast drops below the plan of record.</t>
  </si>
  <si>
    <t>Hiring slips</t>
  </si>
  <si>
    <t>Inputs rows 63 to 65 (planned starts override)</t>
  </si>
  <si>
    <t>The forecast falls. The Hiring plan shows the shortfall and the extra hires still needed; starts moved past the latest useful month also count as late hires (rows 18, 35, 52). The plan of record and recommended starts stay put.</t>
  </si>
  <si>
    <t>The target goes up</t>
  </si>
  <si>
    <t>Inputs B9 or B10</t>
  </si>
  <si>
    <t>Recommended starts increase, up to the hiring class size (Inputs row 14). The plan of record lands at or above the new target unless the class size binds; the Hiring plan then shows a negative plan minus target and the extra hires needed. Plan of record spend rises with the team.</t>
  </si>
  <si>
    <t>A faster ramp</t>
  </si>
  <si>
    <t>Inputs row 32: B:D (baseline) or E:G (live)</t>
  </si>
  <si>
    <t>Baseline: the solver re-plans the hire schedule (at the defaults, fewer starts in year 1 and more in year 2) and the plan of record still lands at or above both targets. Live: bookings at scenario inputs rise on Capacity, but the forecast stays at the plan of record because paced leads cover the plan only; set B11 to Flat commit or add a lead override to see the gain.</t>
  </si>
  <si>
    <t>Quota looks too high</t>
  </si>
  <si>
    <t>Inputs B:D in rows 24 to 28</t>
  </si>
  <si>
    <t>Quota is a result of win rate, deal size, hours on open opportunities, hours per opportunity and attainment. Watch the quota to OTE check (Rep capacity row 17) and over-assignment (row 18); OTE (Inputs row 29) moves only the check.</t>
  </si>
  <si>
    <t>A new territory with no inherited pipeline</t>
  </si>
  <si>
    <t>Inputs row 33 at 0% (default)</t>
  </si>
  <si>
    <t>A hire books nothing until their own pipeline matures, one cycle after the activity ramp starts. Above 0%, inherited deals count as pipeline already open.</t>
  </si>
  <si>
    <t>Marketing pays more per lead</t>
  </si>
  <si>
    <t>Inputs E49:G49 (live cost per lead)</t>
  </si>
  <si>
    <t>Forecast marketing spend rises, the forecast magic number falls and CAC payback lengthens. ARR does not move.</t>
  </si>
  <si>
    <t>More hires than recommended</t>
  </si>
  <si>
    <t>Forecast spend rises from the start month but forecast ARR does not: paced leads cover the plan of record team only, so the forecast magic number falls. Add a lead override above the requirement (rows 71 to 73) and the extra reps turn those leads into ARR after the ramp and the cycle. More leads alone do not raise ARR either, because the planned team is at capacity.</t>
  </si>
  <si>
    <t>Queued SQLs go cold</t>
  </si>
  <si>
    <t>Inputs E42:G42, with B11 set to Flat commit</t>
  </si>
  <si>
    <t>Below 100%, part of each month's queue is lost (the queue lost rows on Funnel, quarterly block row 17 for SMB). Under Flat commit, SQLs queued in heavy months are needed in light ones, so the forecast falls further below the plan of record. With paced leads the queue stays empty and nothing changes. The plan of record does not move.</t>
  </si>
  <si>
    <t>Reading the flags</t>
  </si>
  <si>
    <t>Pipeline: the quarter's closable pipeline is below the segment's target coverage (coverage buffer / live win rate). With the default buffer of 1.0, the funnel then does not deliver the plan of record. All three months of the quarter carry it.</t>
  </si>
  <si>
    <t>Rep load: SQLs available per pipeline-working rep exceed the load tolerance (Inputs B13). Reps work a full load and the excess waits in the queue.</t>
  </si>
  <si>
    <t>OK: neither. A month can carry both flags.</t>
  </si>
  <si>
    <t>A queue is not lost pipeline unless the survival rate (Inputs row 42) is below 100%. Queued SQLs create pipeline later, so a queue early in the year shows as a coverage dip, not a permanent shortfall.</t>
  </si>
  <si>
    <t>Late hires (Hiring plan): starts used after the latest useful start month cannot book inside the year. A slip inside the useful window shows in the shortfall and extra-hire rows instead.</t>
  </si>
  <si>
    <t>Where the switches are</t>
  </si>
  <si>
    <t>Lead pacing: Inputs B11. Paced to plan (default) feeds the plan of record what it needs one cycle ahead; Flat commit uses E43:G44.</t>
  </si>
  <si>
    <t>Planned starts override: Inputs rows 63 to 65. Blank = recommendation, 0 = no start, a whole number = starts that month.</t>
  </si>
  <si>
    <t>Monthly lead overrides: Inputs rows 71 to 73. Blank = pacing or commit, 0 = no leads.</t>
  </si>
  <si>
    <t>Hiring classes: Inputs rows 14 to 16 (class size, months between classes, first class). They shape the recommended schedule.</t>
  </si>
  <si>
    <t>Opening pipeline: Inputs row 40 (coverage of a full book, live only). Below 1.0 the forecast starts behind the plan.</t>
  </si>
  <si>
    <t>Cost assumptions: Inputs rows 48 to 53. They move the Cost tab, the unit economics above and the scorecard, never ARR or hiring.</t>
  </si>
  <si>
    <t>Coverage buffer and rep load tolerance: Inputs rows 12 and 13. They shape the Funnel flags.</t>
  </si>
  <si>
    <t>ARR planning model: inputs</t>
  </si>
  <si>
    <t>Legend: blue font = input you can change. Black font = formula. Grey rows = section headers. Columns B to D = baseline values, columns E to G (pale yellow) = live values. Grey cells = not used on that side.</t>
  </si>
  <si>
    <t>Baseline values set street quota, the recommended hire schedule and the plan of record.</t>
  </si>
  <si>
    <t>Live values move the forecast, implied attainment and the funnel checks. They never move street quota, recommended hires or the plan of record.</t>
  </si>
  <si>
    <t>All defaults are illustrative for a B2B SaaS company at roughly $9M ARR and do not describe any real company. Growth targets are deliberately ambitious (well above the median for this size); productivity, retention and cost inputs sit near public B2B SaaS benchmarks.</t>
  </si>
  <si>
    <t>General</t>
  </si>
  <si>
    <t>Note</t>
  </si>
  <si>
    <t>Live scorecard (formulas; reads the ARR, Capacity, Funnel, Hiring plan and Cost tabs)</t>
  </si>
  <si>
    <t>Starting ARR ($)</t>
  </si>
  <si>
    <t>ARR at the start of month 1, before new business, expansion or churn. Split across segments by the starting mix below.</t>
  </si>
  <si>
    <t>Year 1</t>
  </si>
  <si>
    <t>Year 2</t>
  </si>
  <si>
    <t>Target net new ARR, year 1 ($)</t>
  </si>
  <si>
    <t>Net new ARR the plan should add in months 1 to 12 (default: 67% growth, deliberately ambitious). Split across segments by the target mix below.</t>
  </si>
  <si>
    <t>Net new ARR target ($)</t>
  </si>
  <si>
    <t>Target net new ARR, year 2 ($)</t>
  </si>
  <si>
    <t>Net new ARR the plan should add in months 13 to 24 (default: 53% growth on the year 1 target).</t>
  </si>
  <si>
    <t>Net new ARR, plan of record ($)</t>
  </si>
  <si>
    <t>Lead pacing</t>
  </si>
  <si>
    <t>Paced to plan</t>
  </si>
  <si>
    <t>Dropdown. Paced to plan: Marketing delivers each month the leads the plan requires one sales cycle later. Flat commit: the flat commits in the live columns below.</t>
  </si>
  <si>
    <t>Net new ARR, forecast ($)</t>
  </si>
  <si>
    <t>Coverage buffer (x of 1 / win rate)</t>
  </si>
  <si>
    <t>Target coverage for a segment = buffer / live win rate (Rep capacity). 1.0 asks for exactly the pipeline that delivers the plan; 1.2 asks for 20% more.</t>
  </si>
  <si>
    <t>Forecast minus target ($)</t>
  </si>
  <si>
    <t>Rep load tolerance (x)</t>
  </si>
  <si>
    <t>Rep load = SQLs available per pipeline-working rep / SQLs a rep can work. Months above this are flagged. Reps never work more than a full load; the excess waits in the queue.</t>
  </si>
  <si>
    <t>New-logo ARR (bookings), plan of record ($)</t>
  </si>
  <si>
    <t>Hiring class size: max starts per class (SMB, Mid-market, Enterprise)</t>
  </si>
  <si>
    <t>New reps start in classes so onboarding and training run as a group. The solver fills the earliest class first, up to this size.</t>
  </si>
  <si>
    <t>New-logo ARR (bookings), forecast ($)</t>
  </si>
  <si>
    <t>Months between hiring classes</t>
  </si>
  <si>
    <t>3 = a class every quarter, 1 = a class every month. Shapes the recommended schedule only; the planned starts override accepts any month.</t>
  </si>
  <si>
    <t>Recommended starts</t>
  </si>
  <si>
    <t>First hiring class (month)</t>
  </si>
  <si>
    <t>Month 1 to 12. Later classes follow at the interval above through month 24.</t>
  </si>
  <si>
    <t>Starts used by the forecast</t>
  </si>
  <si>
    <t>Mix by segment</t>
  </si>
  <si>
    <t>Ending ARR, plan of record ($)</t>
  </si>
  <si>
    <t>Starting ARR mix</t>
  </si>
  <si>
    <t>Share of starting ARR in each segment. Must sum to 100%.</t>
  </si>
  <si>
    <t>Ending ARR, forecast ($)</t>
  </si>
  <si>
    <t>Check: starting mix sums to</t>
  </si>
  <si>
    <t>Should read 100.0%.</t>
  </si>
  <si>
    <t>Target net new ARR mix</t>
  </si>
  <si>
    <t>Share of each year's net new ARR target the segment carries on the Hiring plan tab. Must sum to 100%.</t>
  </si>
  <si>
    <t>Segment review</t>
  </si>
  <si>
    <t>Check: target mix sums to</t>
  </si>
  <si>
    <t>Assumptions by segment: baseline and live side by side</t>
  </si>
  <si>
    <t>Baseline (sets street quota, recommended hires and the plan of record)</t>
  </si>
  <si>
    <t>Live (moves the forecast, implied attainment and the funnel checks)</t>
  </si>
  <si>
    <t>Implied attainment at scenario inputs</t>
  </si>
  <si>
    <t>Assumption</t>
  </si>
  <si>
    <t>Quarters below the coverage target (of 8)</t>
  </si>
  <si>
    <t>SQL win rate</t>
  </si>
  <si>
    <t>Share of SQLs that become closed-won deals. Baseline drives street quota. Live drives productivity at scenario inputs, implied attainment, pipeline required and the forecast.</t>
  </si>
  <si>
    <t>Months above the rep load tolerance (of 24)</t>
  </si>
  <si>
    <t>Average new deal ARR ($)</t>
  </si>
  <si>
    <t>ARR of a typical new logo. Baseline drives street quota with the baseline win rate. Live: the deals actually closing, same uses as the live win rate.</t>
  </si>
  <si>
    <t>Month 12 forecast minus segment target ($) (ending ARR)</t>
  </si>
  <si>
    <t>Hours on open opportunities per rep per month</t>
  </si>
  <si>
    <t>Hours a rep spends on open opportunities, discovery through close (calls, demos, proposals, negotiation), out of roughly 160 working hours. Prospecting, internal meetings and admin are excluded. Baseline drives quota. Live moves the SQLs a rep can work, the SQL cap and rep load; not street quota.</t>
  </si>
  <si>
    <t>Hours per opportunity worked</t>
  </si>
  <si>
    <t>Hours one opportunity takes over its whole life, discovery through close. Hours on open opportunities divided by this is the SQLs a rep can take on in a month. Live: same uses as the live hours on open opportunities.</t>
  </si>
  <si>
    <t>Expected quota attainment</t>
  </si>
  <si>
    <t>Share of street quota the team is expected to close on average. Street quota = baseline productivity / this. One value for both the plan and the forecast (no live column).</t>
  </si>
  <si>
    <t>On-target earnings, annual ($)</t>
  </si>
  <si>
    <t>Base plus variable pay at 100% of quota. Drives the quota to OTE check and rep cost (Rep capacity, Cost tab). One value for both the plan and the forecast (no live column).</t>
  </si>
  <si>
    <t>Sales cycle (months)</t>
  </si>
  <si>
    <t>Whole months from SQL to close. Baseline lags a new hire's bookings in the plan of record and the solver. Live shifts the funnel in time and lags new hires' bookings in the forecast track.</t>
  </si>
  <si>
    <t>Ramped reps at start</t>
  </si>
  <si>
    <t>Fully productive reps on the team in month 1. New reps come from the hire schedule at the bottom of this tab. One value for both the plan and the forecast (no live column).</t>
  </si>
  <si>
    <t>Activity ramp (months after the start month)</t>
  </si>
  <si>
    <t>Months after the start month until a hire works a full SQL load. Credit is zero in the start month and rises in a straight line: 2 means 0%, 50% and 100% in months 1, 2 and 3 of employment. Use 1 to 12. Live: forecast track only.</t>
  </si>
  <si>
    <t>Inherited pipeline at start (% of a ramped rep's bookings)</t>
  </si>
  <si>
    <t>Share of a ramped rep's bookings a new hire closes before their own pipeline matures. 0% for a net-new territory. Live: forecast track only.</t>
  </si>
  <si>
    <t>Annual rep attrition</t>
  </si>
  <si>
    <t>Share of reps that leave in a year. Each cohort keeps (1 minus this) ^ (1/12) of its reps each month, so exactly this share is gone after 12 months. Live: forecast track only.</t>
  </si>
  <si>
    <t>Sales and marketing spend, plan of record ($)</t>
  </si>
  <si>
    <t>Gross churn (annual)</t>
  </si>
  <si>
    <t>Share of beginning ARR lost each year to customers who leave. Applied as one twelfth per month. Live moves the forecast roll-forward, GRR and NRR.</t>
  </si>
  <si>
    <t>Sales and marketing spend, forecast ($)</t>
  </si>
  <si>
    <t>Contraction (annual)</t>
  </si>
  <si>
    <t>Share of beginning ARR lost each year to downgrades. Same monthly treatment. Live: forecast roll-forward only.</t>
  </si>
  <si>
    <t>Magic number, plan of record (x)</t>
  </si>
  <si>
    <t>Expansion (annual)</t>
  </si>
  <si>
    <t>Share of beginning ARR gained each year from customers who buy more. Same monthly treatment. Live: forecast roll-forward only.</t>
  </si>
  <si>
    <t>Magic number, forecast (x)</t>
  </si>
  <si>
    <t>Lead to MQL rate</t>
  </si>
  <si>
    <t>Share of leads that marketing qualifies. Baseline prices the leads the plan of record requires (Cost). Live drives the Funnel tab and the leads the forecast buys.</t>
  </si>
  <si>
    <t>New-logo CAC payback, plan of record (months)</t>
  </si>
  <si>
    <t>MQL to SQL rate</t>
  </si>
  <si>
    <t>Share of MQLs that sales accepts as qualified opportunities (SQLs). Same uses as the lead to MQL rate.</t>
  </si>
  <si>
    <t>New-logo CAC payback, forecast (months)</t>
  </si>
  <si>
    <t>Opening pipeline coverage (x of a full team's open pipeline)</t>
  </si>
  <si>
    <t>Pipeline already open in month 1 as a multiple of what the ramped reps at start carry at steady state. 1.0 = a full book, which is what the plan of record assumes; below 1.0 the forecast starts behind. Live only: there is no baseline for this row.</t>
  </si>
  <si>
    <t>Opening pipeline at start of month 1 ($)</t>
  </si>
  <si>
    <t>Coverage x ramped reps at start x SQLs a rep can work per month (Rep capacity, baseline) x baseline sales cycle x baseline deal. It resizes when the plan changes. The Funnel tab closes it in equal parts over the first live sales cycle.</t>
  </si>
  <si>
    <t>Queued SQLs surviving to next month (%)</t>
  </si>
  <si>
    <t>Share of SQLs left in the queue at month end that are still workable next month. 100% means nothing goes cold; 70% means 30% of the queue is lost each month. Live only: there is no baseline for this row.</t>
  </si>
  <si>
    <t>Leads per month: Marketing commit, year 1 (flat)</t>
  </si>
  <si>
    <t>Leads delivered every month of year 1 when lead pacing is Flat commit. Default = the year 1 average required (reference row below), rounded. Live only: there is no baseline for this row.</t>
  </si>
  <si>
    <t>Leads per month: Marketing commit, year 2 (flat)</t>
  </si>
  <si>
    <t>Same for months 13 to 24. Default = the year 2 average required, rounded. Live only: there is no baseline for this row.</t>
  </si>
  <si>
    <t>Reference: leads required per month, year 1 average</t>
  </si>
  <si>
    <t>Average of the Funnel tab's leads required row over months 1 to 12, at the live conversion rates, win rate and deal size. Live only: there is no baseline for this row.</t>
  </si>
  <si>
    <t>Reference: leads required per month, year 2 average</t>
  </si>
  <si>
    <t>Average over months 13 to 24, ignoring the months at the end of the horizon whose deals would close after month 24. Live only: there is no baseline for this row.</t>
  </si>
  <si>
    <t>Cost assumptions</t>
  </si>
  <si>
    <t>Variable share of OTE</t>
  </si>
  <si>
    <t>Share of on-target earnings paid as commission at 100% of quota. Base pay = OTE minus this share. Commission rate = variable pay / annual street quota (Rep capacity). One value for both the plan and the forecast (no live column).</t>
  </si>
  <si>
    <t>Marketing program cost per lead ($)</t>
  </si>
  <si>
    <t>Program spend (paid media, events, content syndication) per raw lead. Baseline prices the leads the plan of record requires. Live prices the leads the forecast produces.</t>
  </si>
  <si>
    <t>Loaded cost factor on base pay (x)</t>
  </si>
  <si>
    <t>Base pay x this factor covers payroll taxes and benefits. Commission is not loaded.</t>
  </si>
  <si>
    <t>Sales overhead (% of AE pay)</t>
  </si>
  <si>
    <t>SDRs, sales engineers, sales managers, enablement and sales tools, as a share of AE base and commission. One flat share; see Notes.</t>
  </si>
  <si>
    <t>Marketing fixed cost per month ($)</t>
  </si>
  <si>
    <t>Marketing team, brand, website and tools. The same every month and on both tracks.</t>
  </si>
  <si>
    <t>Gross margin</t>
  </si>
  <si>
    <t>Subscription gross margin. Used only for CAC payback.</t>
  </si>
  <si>
    <t>To reset a stress test, copy the baseline value back into the live cell on the same row. A live cell that differs from its baseline shows in amber.</t>
  </si>
  <si>
    <t>Hire schedule and lead overrides: one column per month (J = month 1, AG = month 24)</t>
  </si>
  <si>
    <t>Month</t>
  </si>
  <si>
    <t>Recommended starts (Hiring plan solver at baseline; whole people)</t>
  </si>
  <si>
    <t>From the Hiring plan tab. Live inputs do not re-solve it.</t>
  </si>
  <si>
    <t>Planned starts override (blank = use the recommendation, 0 = no start)</t>
  </si>
  <si>
    <t>Type whole numbers in the months a rep actually starts. Year totals count typed cells only.</t>
  </si>
  <si>
    <t>Starts used by the forecast (override where typed, otherwise the recommendation)</t>
  </si>
  <si>
    <t>Read by the Capacity forecast track and the Hiring plan late-hire check.</t>
  </si>
  <si>
    <t>Monthly lead overrides (blank = lead pacing or the flat commit, 0 = no leads)</t>
  </si>
  <si>
    <t>Type the leads Marketing will deliver in a month. Year totals count typed cells only.</t>
  </si>
  <si>
    <t>Rep capacity: what one ramped rep can carry, the street quota that follows from the baseline, and what the live inputs imply</t>
  </si>
  <si>
    <t>Street quota is derived from the baseline inputs and typed nowhere. It does not move when scenario inputs move.</t>
  </si>
  <si>
    <t>The scenario block repeats the productivity math at the live inputs. Its ratio to street quota is the attainment the scenario implies.</t>
  </si>
  <si>
    <t>Baseline: street quota</t>
  </si>
  <si>
    <t>Hours on open opportunities per rep per month, baseline</t>
  </si>
  <si>
    <t>From Inputs (baseline).</t>
  </si>
  <si>
    <t>Hours per opportunity worked, baseline</t>
  </si>
  <si>
    <t>SQLs a rep can work per month, baseline</t>
  </si>
  <si>
    <t>Hours on open opportunities divided by hours per opportunity: the most SQLs a rep can take on in a month.</t>
  </si>
  <si>
    <t>SQL win rate, baseline</t>
  </si>
  <si>
    <t>Average new deal ARR, baseline ($)</t>
  </si>
  <si>
    <t>Productivity per ramped rep at baseline ($/month)</t>
  </si>
  <si>
    <t>SQLs a rep can work x baseline win rate x baseline deal. New ARR a fully loaded, ramped rep produces in a month.</t>
  </si>
  <si>
    <t>Street quota, monthly per ramped rep ($)</t>
  </si>
  <si>
    <t>Baseline productivity / expected attainment. Frozen at the baseline. Used by the Capacity plan of record and the Hiring plan solver.</t>
  </si>
  <si>
    <t>Street quota, annual per ramped rep ($)</t>
  </si>
  <si>
    <t>Monthly street quota x 12.</t>
  </si>
  <si>
    <t>From Inputs.</t>
  </si>
  <si>
    <t>Quota to OTE ratio (x)</t>
  </si>
  <si>
    <t>Annual street quota / OTE. 4x to 6x is the usual range for B2B SaaS.</t>
  </si>
  <si>
    <t>Quota to OTE check</t>
  </si>
  <si>
    <t>Reads OK between 4x and 6x. Outside it, revisit hours on open opportunities, hours per opportunity, baseline win rate or deal, attainment or OTE.</t>
  </si>
  <si>
    <t>Over-assignment (sum of quotas / bookings plan)</t>
  </si>
  <si>
    <t>1 / expected attainment. The sum of ramped reps' quotas exceeds the plan of record by this buffer because reps are expected to land at the attainment on Inputs. Ramp and attrition are handled on Capacity.</t>
  </si>
  <si>
    <t>Baseline: rep cost (feeds the Cost tab)</t>
  </si>
  <si>
    <t>Base pay, annual ($) = OTE x (1 minus variable share)</t>
  </si>
  <si>
    <t>Fixed salary per rep.</t>
  </si>
  <si>
    <t>Variable pay at 100% of quota, annual ($)</t>
  </si>
  <si>
    <t>Commission a rep earns at exactly 100% of street quota.</t>
  </si>
  <si>
    <t>Commission rate on new ARR = variable pay / annual street quota</t>
  </si>
  <si>
    <t>Paid on every dollar of new ARR booked. No accelerators or decelerators. A rep at expected attainment earns that share of variable pay.</t>
  </si>
  <si>
    <t>Loaded base cost per rep per month ($) = base pay x loaded cost factor / 12</t>
  </si>
  <si>
    <t>What one rep on payroll costs each month before commission.</t>
  </si>
  <si>
    <t>Scenario: what the live inputs imply</t>
  </si>
  <si>
    <t>Hours on open opportunities per rep per month, live</t>
  </si>
  <si>
    <t>From Inputs (scenario).</t>
  </si>
  <si>
    <t>Hours per opportunity worked, live</t>
  </si>
  <si>
    <t>Max SQLs a rep can work per month, live</t>
  </si>
  <si>
    <t>Live hours on open opportunities / live hours per opportunity. The Funnel tab uses it for the SQL cap and rep load.</t>
  </si>
  <si>
    <t>SQL win rate, live</t>
  </si>
  <si>
    <t>Average new deal ARR, live ($)</t>
  </si>
  <si>
    <t>Productivity at scenario inputs ($/month per ramped rep)</t>
  </si>
  <si>
    <t>Max SQLs at live hours x live win rate x live deal. What a ramped rep produces if the scenario comes true. Feeds bookings at scenario inputs.</t>
  </si>
  <si>
    <t>Productivity at scenario inputs / street quota. Equals expected attainment while the scenario equals the baseline.</t>
  </si>
  <si>
    <t>Sales cycle, live (months)</t>
  </si>
  <si>
    <t>Open opportunities per rep at steady state, live</t>
  </si>
  <si>
    <t>Max SQLs per month x live sales cycle: the SQLs a rep carries open at a time.</t>
  </si>
  <si>
    <t>Pipeline coverage implied by the live win rate (x)</t>
  </si>
  <si>
    <t>1 / live win rate: the coverage at which closable pipeline exactly delivers the plan of record.</t>
  </si>
  <si>
    <t>From Inputs. The same for every segment.</t>
  </si>
  <si>
    <t>Target pipeline coverage (x)</t>
  </si>
  <si>
    <t>Implied coverage x buffer. The Funnel tab compares each quarter's coverage with this row.</t>
  </si>
  <si>
    <t>Hiring plan: cohort solver at baseline assumptions. Each year-end target (cumulative), what the continuing team delivers, and the earliest whole-person starts that reach it</t>
  </si>
  <si>
    <t>Month (monthly rows)</t>
  </si>
  <si>
    <t>Quarter</t>
  </si>
  <si>
    <t>Year</t>
  </si>
  <si>
    <t>Summary by segment and year (year 1 = months 1 to 12, year 2 = months 13 to 24)</t>
  </si>
  <si>
    <t>SMB summary</t>
  </si>
  <si>
    <t>Year-end ARR target ($) = starting ARR share + target mix share x the net new targets to date (cumulative)</t>
  </si>
  <si>
    <t>Net new ARR target for the segment ($)</t>
  </si>
  <si>
    <t>Ending ARR, plan of record ($) (ARR tab)</t>
  </si>
  <si>
    <t>Plan of record minus year-end target ($): above zero from rounding up to whole people or a continuing team that already covers the target; below zero only if the class size binds or no start can book inside the year</t>
  </si>
  <si>
    <t>Additional year-end ARR needed from new hires ($) (zero when the continuing team covers the target)</t>
  </si>
  <si>
    <t>Overshoot / (shortfall) of the recommended starts ($) = year-end ARR from the recommended starts minus the ARR needed from new hires</t>
  </si>
  <si>
    <t>Recommended hires (whole people, earliest hiring classes first, up to the class size)</t>
  </si>
  <si>
    <t>Year-end ARR from the recommended starts ($)</t>
  </si>
  <si>
    <t>Latest useful start month (last month of the year in which one hire still books something by year end; 0 = none)</t>
  </si>
  <si>
    <t>Starts used by the forecast (Inputs override where typed)</t>
  </si>
  <si>
    <t>Late hires: starts used after the latest useful start month</t>
  </si>
  <si>
    <t>Year-end ARR from the starts used ($)</t>
  </si>
  <si>
    <t>Shortfall of the year's starts in use ($) = needed minus year-end ARR from the starts used, never below zero (a year 1 slip that carries into year 2 shows in the forecast, not here)</t>
  </si>
  <si>
    <t>Extra hires the schedule in use still needs, at the productivity of a start in the first month of the year</t>
  </si>
  <si>
    <t>Mid-market summary</t>
  </si>
  <si>
    <t>Enterprise summary</t>
  </si>
  <si>
    <t>Total, all segments</t>
  </si>
  <si>
    <t>Plan of record minus year-end target ($)</t>
  </si>
  <si>
    <t>Recommended hires</t>
  </si>
  <si>
    <t>Late hires</t>
  </si>
  <si>
    <t>Cohort solver by segment at baseline (months 1 to 12 solve year 1, months 13 to 24 solve year 2)</t>
  </si>
  <si>
    <t>SMB: solver</t>
  </si>
  <si>
    <t>Bookings from the continuing team ($): ramped reps at start and prior-year hires, surviving at baseline attrition, no new hires this year</t>
  </si>
  <si>
    <t>Ending ARR without any new hires this year ($) = prior month x (1 + baseline net retention / 12) + continuing team bookings</t>
  </si>
  <si>
    <t>Additional year-end ARR needed from new hires ($) = target minus ending ARR without hires, never below zero</t>
  </si>
  <si>
    <t>Year-end ARR contribution of ONE hire starting this month ($): bookings credit x street quota x expected attainment, surviving, carried to year end at baseline retention</t>
  </si>
  <si>
    <t>Contributed by earlier recommended starts ($) (year columns: all of the year's recommended starts)</t>
  </si>
  <si>
    <t>Recommended starts this month (whole people, hiring class months only) = ROUNDUP((needed minus earlier starts' contribution) / one hire), capped at the class size</t>
  </si>
  <si>
    <t>Starts used by the forecast (Inputs)</t>
  </si>
  <si>
    <t>Year-end ARR contributed by the starts used, cumulative ($)</t>
  </si>
  <si>
    <t>Mid-market: solver</t>
  </si>
  <si>
    <t>Enterprise: solver</t>
  </si>
  <si>
    <t>How the solver works</t>
  </si>
  <si>
    <t>The recommendation reads only baseline inputs, so scenario inputs and overrides never change it. The starts-used, late-hire, shortfall and extra-hire rows read the Inputs override.</t>
  </si>
  <si>
    <t>Year-end targets are cumulative and fixed at the start: month 12 = starting ARR share + mix share x year 1 target; month 24 adds mix share x year 2 target. Segment targets add up to the company target.</t>
  </si>
  <si>
    <t>Year 2 rolls forward from the plan of record ending ARR at month 12, so a year 1 overshoot counts toward year 2 and reduces year 2 hiring. Nothing on the tab refers to itself.</t>
  </si>
  <si>
    <t>A hire's contribution is its monthly bookings credit (activity ramp, cycle lag, inherited floor, cohort survival) x street quota x expected attainment, each month carried to year end at the baseline retention rate.</t>
  </si>
  <si>
    <t>Reps start in hiring classes (Inputs rows 14 to 16). The solver fills the earliest class first: in each class month it adds the whole people needed to close the remaining gap, up to the class size, and stops once the gap is closed.</t>
  </si>
  <si>
    <t>Because hires are whole people, the plan of record lands at or above each year-end target; the overshoot row shows by how much. It falls short only if the class size stops the solver, or the cycle plus ramp is so long that no start can book inside the year. The shortfall then shows as a negative.</t>
  </si>
  <si>
    <t>Year 2 net new ARR can sit below its own target when year 1 overshot, because the plan works to ending ARR. The month 24 ending ARR still lands at or above target.</t>
  </si>
  <si>
    <t>A segment whose continuing team already covers its target gets no recommended hires; its plan of record then sits above target by what that team delivers.</t>
  </si>
  <si>
    <t>Latest useful start month: after it, a hire cannot book inside the year. Starts used after it count as late hires and the forecast falls while the plan of record stays put.</t>
  </si>
  <si>
    <t>The solver hires only what the two year-end targets need, so it makes no starts after the latest useful month of year 2 and attrition pulls headcount down in the last months. A real plan would backfill for year 3; type those starts in the Inputs override rows to see their cost.</t>
  </si>
  <si>
    <t>Capacity: the bookings plan of record (recommended starts at baseline assumptions) and bookings at scenario inputs (starts used at live assumptions)</t>
  </si>
  <si>
    <t>Plan of record track: recommended starts at baseline ramp, inherited pipeline, attrition and sales cycle</t>
  </si>
  <si>
    <t>Recommended starts this month (Inputs)</t>
  </si>
  <si>
    <t>Headcount, start of month</t>
  </si>
  <si>
    <t>Attrition this month (reps) = start headcount x (1 minus monthly survival at baseline attrition)</t>
  </si>
  <si>
    <t>Headcount, end of month</t>
  </si>
  <si>
    <t>Activity credit from hires (rep-equivalents working pipeline, after cohort attrition)</t>
  </si>
  <si>
    <t>Bookings credit from hires (activity credit lagged by the baseline cycle, inherited floor, after cohort attrition)</t>
  </si>
  <si>
    <t>Bookings rep-equivalents = ramped reps at start surviving + bookings credit</t>
  </si>
  <si>
    <t>Street quota, monthly per ramped rep ($) (Rep capacity)</t>
  </si>
  <si>
    <t>Bookings, plan of record ($) = bookings rep-equivalents x street quota x expected attainment</t>
  </si>
  <si>
    <t>of which from inherited pipeline ($): deals new hires take over before their own pipeline matures (already open, so the Funnel does not ask Marketing for them)</t>
  </si>
  <si>
    <t>Forecast track: starts used at live ramp, inherited pipeline, attrition and sales cycle</t>
  </si>
  <si>
    <t>Starts used by the forecast this month (Inputs)</t>
  </si>
  <si>
    <t>Attrition this month (reps) = start headcount x (1 minus monthly survival at live attrition)</t>
  </si>
  <si>
    <t>Activity credit from hires (after cohort attrition)</t>
  </si>
  <si>
    <t>Pipeline-working rep-equivalents = ramped reps at start surviving + activity credit (used by the Funnel tab)</t>
  </si>
  <si>
    <t>Bookings credit from hires (lagged by the live cycle, inherited floor, after cohort attrition)</t>
  </si>
  <si>
    <t>Productivity at scenario inputs ($/month per ramped rep) (Rep capacity)</t>
  </si>
  <si>
    <t>Bookings at scenario inputs ($) = bookings rep-equivalents x productivity at scenario inputs</t>
  </si>
  <si>
    <t>of which from inherited pipeline ($) (the Funnel counts it as pipeline already open)</t>
  </si>
  <si>
    <t>Recommended starts this month</t>
  </si>
  <si>
    <t>Headcount, end of month, plan of record track</t>
  </si>
  <si>
    <t>Bookings rep-equivalents, plan of record track</t>
  </si>
  <si>
    <t>Bookings, plan of record ($)</t>
  </si>
  <si>
    <t>Starts used by the forecast this month</t>
  </si>
  <si>
    <t>Attrition this month (reps), forecast track</t>
  </si>
  <si>
    <t>Headcount, end of month, forecast track</t>
  </si>
  <si>
    <t>Pipeline-working rep-equivalents, forecast track</t>
  </si>
  <si>
    <t>Bookings rep-equivalents, forecast track</t>
  </si>
  <si>
    <t>Bookings at scenario inputs ($)</t>
  </si>
  <si>
    <t>How to read this tab</t>
  </si>
  <si>
    <t>Two tracks per segment. The plan of record track reads recommended starts and baseline inputs; the forecast track reads starts used and live inputs.</t>
  </si>
  <si>
    <t>Activity credit: a hire counts as (months since start) / (activity ramp), capped at 1 and zero in the start month.</t>
  </si>
  <si>
    <t>Bookings credit is the activity credit lagged by the sales cycle, never below the inherited pipeline share from Inputs.</t>
  </si>
  <si>
    <t>Example: an Enterprise hire in month 1 (ramp 4, cycle 6) books nothing through month 7, a quarter load in month 8 and a full load from month 11.</t>
  </si>
  <si>
    <t>Each cohort keeps (1 minus annual attrition) ^ (1/12) of its reps each month, so exactly the annual rate is gone after 12 months and credit fades as reps leave. Ramped reps at start fade the same way.</t>
  </si>
  <si>
    <t>Bookings rep-equivalents = surviving ramped reps at start + bookings credit of every hire so far.</t>
  </si>
  <si>
    <t>Bookings, plan of record = bookings rep-equivalents x street quota x expected attainment. It reads only baseline inputs and the recommended starts.</t>
  </si>
  <si>
    <t>Bookings at scenario inputs = forecast-track bookings rep-equivalents x productivity at the live win rate, deal size and hours on open opportunities.</t>
  </si>
  <si>
    <t>The inherited-pipeline rows split out the part of a new hire's bookings that comes from deals they take over (the inherited floor). The Funnel counts those deals as pipeline already open, so Marketing is not asked to create them.</t>
  </si>
  <si>
    <t>The Funnel tab uses the forecast-track pipeline-working rep-equivalents for the SQL cap and rep load.</t>
  </si>
  <si>
    <t>Funnel: pipeline the funnel produces at scenario inputs, pipeline the plan of record requires at the live win rate and deal size, and the checks between them</t>
  </si>
  <si>
    <t>Quarterly coverage and sufficiency by segment (the pipeline review view; monthly detail is grouped below)</t>
  </si>
  <si>
    <t>Bookings plan of record for the quarter ($)</t>
  </si>
  <si>
    <t>Closable pipeline in the quarter ($)</t>
  </si>
  <si>
    <t>Pipeline coverage (x) = closable pipeline / plan of record</t>
  </si>
  <si>
    <t>Target coverage for this segment (x) = buffer / live win rate (Rep capacity)</t>
  </si>
  <si>
    <t>Check against the target coverage</t>
  </si>
  <si>
    <t>New ARR the funnel can close in the quarter ($)</t>
  </si>
  <si>
    <t>Funnel sufficiency at the live win rate (x) = new ARR the funnel can close / plan of record</t>
  </si>
  <si>
    <t>Leads required in the quarter (what Marketing is handed; blank once deals would close after month 24)</t>
  </si>
  <si>
    <t>SQLs in queue at quarter end</t>
  </si>
  <si>
    <t>Queue lost in quarter (SQLs gone cold at the live survival rate)</t>
  </si>
  <si>
    <t>SMB: monthly detail</t>
  </si>
  <si>
    <t>MQLs</t>
  </si>
  <si>
    <t>SQLs</t>
  </si>
  <si>
    <t>SQLs carried in from last month (last month's queue x the live survival rate; month 1 starts empty)</t>
  </si>
  <si>
    <t>SQLs available to work = produced + queue</t>
  </si>
  <si>
    <t>SQLs the rep team can work = forecast pipeline-working rep-equivalents x live max SQLs per rep (a full load)</t>
  </si>
  <si>
    <t>SQLs worked = lower of available and capacity</t>
  </si>
  <si>
    <t>SQLs left in queue (carried to next month)</t>
  </si>
  <si>
    <t>SQLs lost from the queue (last month's queue x (1 minus the live survival rate); zero at 100%)</t>
  </si>
  <si>
    <t>Pipeline created ($) = SQLs worked x live deal</t>
  </si>
  <si>
    <t>Opening pipeline closing this month ($) (Inputs; equal parts over the first live cycle)</t>
  </si>
  <si>
    <t>Inherited pipeline closing this month ($) = bookings from inherited pipeline at scenario inputs (Capacity) / live win rate</t>
  </si>
  <si>
    <t>Closable pipeline this month ($) = created one live cycle ago + opening pipeline + inherited pipeline</t>
  </si>
  <si>
    <t>Wins closing this month (at the live win rate)</t>
  </si>
  <si>
    <t>New ARR the funnel can close ($) = closable pipeline x live win rate</t>
  </si>
  <si>
    <t>Required: bookings plan of record this month ($) (Capacity; unchanged by scenario inputs)</t>
  </si>
  <si>
    <t>Wins required from new pipeline this month (plan of record less its inherited-pipeline bookings, at the live deal size)</t>
  </si>
  <si>
    <t>SQLs that must close this month (at the live win rate)</t>
  </si>
  <si>
    <t>SQLs to create this month (close one live cycle later; blank past month 24)</t>
  </si>
  <si>
    <t>Pipeline required ($) (at the live deal size)</t>
  </si>
  <si>
    <t>Leads required (at the live conversion rates)</t>
  </si>
  <si>
    <t>Check: pipeline coverage this month (x) = closable pipeline / plan of record</t>
  </si>
  <si>
    <t>SQLs available to work per pipeline-working rep</t>
  </si>
  <si>
    <t>Rep load (x) = SQLs available per pipeline-working rep / live max SQLs a rep can work</t>
  </si>
  <si>
    <t>Flag (the quarter's coverage vs the segment's target coverage; rep load vs the tolerance on Inputs)</t>
  </si>
  <si>
    <t>Mid-market: monthly detail</t>
  </si>
  <si>
    <t>Enterprise: monthly detail</t>
  </si>
  <si>
    <t>Total, all segments: monthly detail</t>
  </si>
  <si>
    <t>Produced: leads</t>
  </si>
  <si>
    <t>SQLs carried in from last month (queue)</t>
  </si>
  <si>
    <t>SQLs available to work</t>
  </si>
  <si>
    <t>SQLs the rep teams can work</t>
  </si>
  <si>
    <t>SQLs worked</t>
  </si>
  <si>
    <t>SQLs left in queue</t>
  </si>
  <si>
    <t>SQLs lost from the queue</t>
  </si>
  <si>
    <t>Pipeline created ($)</t>
  </si>
  <si>
    <t>Opening pipeline closing this month ($)</t>
  </si>
  <si>
    <t>Inherited pipeline closing this month ($)</t>
  </si>
  <si>
    <t>Closable pipeline this month ($)</t>
  </si>
  <si>
    <t>Wins closing this month</t>
  </si>
  <si>
    <t>New ARR the funnel can close ($)</t>
  </si>
  <si>
    <t>Required: bookings plan of record this month ($)</t>
  </si>
  <si>
    <t>SQLs to create this month (segments whose deals close by month 24)</t>
  </si>
  <si>
    <t>Pipeline required ($) (same segments)</t>
  </si>
  <si>
    <t>Leads required (same segments)</t>
  </si>
  <si>
    <t>Check: pipeline coverage this month (x)</t>
  </si>
  <si>
    <t>Funnel sufficiency at the live win rate (x)</t>
  </si>
  <si>
    <t>Definitions</t>
  </si>
  <si>
    <t>Closable pipeline in a quarter = pipeline created in the months whose SQLs are due to close inside the quarter (live cycle) + the share of the opening pipeline closing in it.</t>
  </si>
  <si>
    <t>Pipeline created counts SQLs worked, not SQLs produced. SQLs above what the team can work (a full load) wait in the queue and are worked later. The load tolerance on Inputs only sets the Rep load flag.</t>
  </si>
  <si>
    <t>Closable pipeline also counts the opening pipeline (Inputs) and the pipeline new hires inherit (Capacity). Marketing does not have to create either.</t>
  </si>
  <si>
    <t>Queued SQLs survive to the next month at the live survival rate on Inputs (default 100%). The share lost shows in the queue lost rows and never creates pipeline.</t>
  </si>
  <si>
    <t>Coverage = closable pipeline / the quarter's bookings plan of record. The target is the segment's row on Rep capacity: coverage buffer / live win rate.</t>
  </si>
  <si>
    <t>Funnel sufficiency at the live win rate = new ARR the funnel can close / plan of record. 1.0x means the funnel exactly delivers the plan.</t>
  </si>
  <si>
    <t>The monthly flag rows use the quarter's coverage, so all three months of a quarter carry the same pipeline flag. Rep load is tested month by month.</t>
  </si>
  <si>
    <t>Leads required, pipeline required and SQLs to create are by month of creation. They convert the plan of record, less its bookings from inherited pipeline, at the live win rate, deal size and conversion rates.</t>
  </si>
  <si>
    <t>Leads produced: a monthly override on Inputs wins; otherwise Paced to plan uses the leads required row and Flat commit uses the flat commit for the year.</t>
  </si>
  <si>
    <t>In the last months of the horizon the requirement is blank (deals would close after month 24); paced leads then hold the last available month's value.</t>
  </si>
  <si>
    <t>ARR: forecast roll-forward (bookings at scenario inputs capped by what the funnel can close, live retention) with the plan of record alongside</t>
  </si>
  <si>
    <t>Summary: net new ARR and ending ARR against the target</t>
  </si>
  <si>
    <t>Plan of record minus target</t>
  </si>
  <si>
    <t>Net new ARR, year 1 ($) = ending ARR month 12 minus starting ARR</t>
  </si>
  <si>
    <t>Net new ARR, year 2 ($) = ending ARR month 24 minus ending ARR month 12</t>
  </si>
  <si>
    <t>New-logo ARR (bookings), year 1 ($) (plan of record: Capacity; forecast: booked on this tab)</t>
  </si>
  <si>
    <t>New-logo ARR (bookings), year 2 ($)</t>
  </si>
  <si>
    <t>Retention of the starting cohort, trailing 12 months (live rates)</t>
  </si>
  <si>
    <t>Value</t>
  </si>
  <si>
    <t>GRR at month 12</t>
  </si>
  <si>
    <t>NRR at month 12</t>
  </si>
  <si>
    <t>GRR at month 24</t>
  </si>
  <si>
    <t>NRR at month 24</t>
  </si>
  <si>
    <t>Funnel against the plan of record</t>
  </si>
  <si>
    <t>New ARR the funnel can close at the live win rate</t>
  </si>
  <si>
    <t>Bookings plan of record</t>
  </si>
  <si>
    <t>Surplus / (shortfall)</t>
  </si>
  <si>
    <t>Year 1 ($)</t>
  </si>
  <si>
    <t>Year 2 ($)</t>
  </si>
  <si>
    <t>Months flagged on the Funnel tab (of 24; a month can carry both flags)</t>
  </si>
  <si>
    <t>Pipeline</t>
  </si>
  <si>
    <t>Rep load</t>
  </si>
  <si>
    <t>OK</t>
  </si>
  <si>
    <t>Chart data for the charts here and on Start here (target = starting ARR plus each year's target spread evenly by month; quarterly rows are forecast new ARR by segment)</t>
  </si>
  <si>
    <t>Beginning ARR, forecast ($)</t>
  </si>
  <si>
    <t>New ARR, forecast ($) = lower of bookings at scenario inputs (Capacity) and new ARR the funnel can close (Funnel)</t>
  </si>
  <si>
    <t>Expansion ($) (live rate)</t>
  </si>
  <si>
    <t>Contraction ($) (live rate)</t>
  </si>
  <si>
    <t>Churn ($) (live rate)</t>
  </si>
  <si>
    <t>New ARR, plan of record ($) (Capacity)</t>
  </si>
  <si>
    <t>Ending ARR, plan of record ($) = prior month x (1 + baseline net retention / 12) + new ARR plan of record</t>
  </si>
  <si>
    <t>New ARR, forecast ($)</t>
  </si>
  <si>
    <t>Expansion ($)</t>
  </si>
  <si>
    <t>Contraction ($)</t>
  </si>
  <si>
    <t>Churn ($)</t>
  </si>
  <si>
    <t>New ARR, plan of record ($)</t>
  </si>
  <si>
    <t>Quarterly roll-up, all segments (forecast)</t>
  </si>
  <si>
    <t>Retention of the starting cohort, trailing 12 months, all segments (live rates; shown from month 12)</t>
  </si>
  <si>
    <t>GRR = share of the ARR held 12 months earlier that remains after churn and contraction; NRR adds expansion. Both follow the customers already there (no new logos), compounding the live monthly rates, and weight each segment by its ARR 12 months earlier.</t>
  </si>
  <si>
    <t>Gross revenue retention (GRR) of the starting cohort, trailing 12 months</t>
  </si>
  <si>
    <t>Net revenue retention (NRR) of the starting cohort, trailing 12 months</t>
  </si>
  <si>
    <t>The forecast books, for each segment and month, the lower of bookings at scenario inputs and the new ARR the funnel can close at the live win rate.</t>
  </si>
  <si>
    <t>The plan of record roll-forward sits alongside: new ARR plan of record from Capacity, rolled forward at the baseline retention rates.</t>
  </si>
  <si>
    <t>Whenever the live values equal the baseline and leads are paced to the plan, the forecast equals the plan of record (as at the defaults).</t>
  </si>
  <si>
    <t>A gap opens when a scenario input is cut, when a hire start is moved later, or when leads are flat or overridden below the requirement.</t>
  </si>
  <si>
    <t>GRR and NRR measure the customers already there 12 months earlier, so new logos and the churn or expansion on them do not distort them. With constant monthly rates, each segment's GRR and NRR follow from its retention inputs; the company figure moves with the segment mix.</t>
  </si>
  <si>
    <t>Cost: sales and marketing spend behind the plan of record and the forecast, and what each dollar of spend buys</t>
  </si>
  <si>
    <t>Unit economics by year</t>
  </si>
  <si>
    <t>Net new ARR ($)</t>
  </si>
  <si>
    <t>Magic number (x) = net new ARR / same-year sales and marketing spend</t>
  </si>
  <si>
    <t>New-logo CAC payback (months) = spend / (new-logo ARR x gross margin) x 12</t>
  </si>
  <si>
    <t>Quarterly magic number (net new ARR in the quarter / sales and marketing spend in the prior quarter; quarter 1 uses its own spend)</t>
  </si>
  <si>
    <t>Plan of record track: recommended starts, baseline inputs and the plan of record bookings</t>
  </si>
  <si>
    <t>Reps on payroll (headcount at start of month + starts this month), SMB</t>
  </si>
  <si>
    <t>Reps on payroll (headcount at start of month + starts this month), Mid-market</t>
  </si>
  <si>
    <t>Reps on payroll (headcount at start of month + starts this month), Enterprise</t>
  </si>
  <si>
    <t>AE base pay, loaded ($) = reps on payroll x loaded base cost per rep (Rep capacity), SMB</t>
  </si>
  <si>
    <t>AE base pay, loaded ($) = reps on payroll x loaded base cost per rep (Rep capacity), Mid-market</t>
  </si>
  <si>
    <t>AE base pay, loaded ($) = reps on payroll x loaded base cost per rep (Rep capacity), Enterprise</t>
  </si>
  <si>
    <t>New ARR, plan of record ($) (Capacity), SMB</t>
  </si>
  <si>
    <t>New ARR, plan of record ($) (Capacity), Mid-market</t>
  </si>
  <si>
    <t>New ARR, plan of record ($) (Capacity), Enterprise</t>
  </si>
  <si>
    <t>Commission ($) = new ARR x commission rate (Rep capacity), SMB</t>
  </si>
  <si>
    <t>Commission ($) = new ARR x commission rate (Rep capacity), Mid-market</t>
  </si>
  <si>
    <t>Commission ($) = new ARR x commission rate (Rep capacity), Enterprise</t>
  </si>
  <si>
    <t>Leads the plan of record requires (bookings one baseline cycle later, less inherited-pipeline bookings, / (baseline deal x win rate x conversion rates); month 24 level held past the horizon), SMB</t>
  </si>
  <si>
    <t>Leads the plan of record requires (bookings one baseline cycle later, less inherited-pipeline bookings, / (baseline deal x win rate x conversion rates); month 24 level held past the horizon), Mid-market</t>
  </si>
  <si>
    <t>Leads the plan of record requires (bookings one baseline cycle later, less inherited-pipeline bookings, / (baseline deal x win rate x conversion rates); month 24 level held past the horizon), Enterprise</t>
  </si>
  <si>
    <t>Marketing programs ($) = leads x cost per lead (baseline), SMB</t>
  </si>
  <si>
    <t>Marketing programs ($) = leads x cost per lead (baseline), Mid-market</t>
  </si>
  <si>
    <t>Marketing programs ($) = leads x cost per lead (baseline), Enterprise</t>
  </si>
  <si>
    <t>AE base pay, loaded ($)</t>
  </si>
  <si>
    <t>Commission ($)</t>
  </si>
  <si>
    <t>Sales overhead ($) = (AE base pay + commission) x overhead share</t>
  </si>
  <si>
    <t>Marketing programs ($)</t>
  </si>
  <si>
    <t>Marketing fixed cost ($)</t>
  </si>
  <si>
    <t>Total sales and marketing spend ($)</t>
  </si>
  <si>
    <t>New ARR, all segments ($)</t>
  </si>
  <si>
    <t>Net new ARR, all segments ($) = change in plan of record ending ARR (ARR tab)</t>
  </si>
  <si>
    <t>Forecast track: starts used, live inputs and the forecast's new ARR</t>
  </si>
  <si>
    <t>New ARR, forecast ($) (ARR tab), SMB</t>
  </si>
  <si>
    <t>New ARR, forecast ($) (ARR tab), Mid-market</t>
  </si>
  <si>
    <t>New ARR, forecast ($) (ARR tab), Enterprise</t>
  </si>
  <si>
    <t>Leads produced (Funnel), SMB</t>
  </si>
  <si>
    <t>Leads produced (Funnel), Mid-market</t>
  </si>
  <si>
    <t>Leads produced (Funnel), Enterprise</t>
  </si>
  <si>
    <t>Marketing programs ($) = leads x cost per lead (live), SMB</t>
  </si>
  <si>
    <t>Marketing programs ($) = leads x cost per lead (live), Mid-market</t>
  </si>
  <si>
    <t>Marketing programs ($) = leads x cost per lead (live), Enterprise</t>
  </si>
  <si>
    <t>Net new ARR, all segments ($) (ARR tab)</t>
  </si>
  <si>
    <t>Two tracks, like Capacity. The plan of record track prices the recommended team and the leads the plan of record requires at baseline inputs. The forecast track prices the team in use and the leads the Funnel produces at live inputs.</t>
  </si>
  <si>
    <t>Reps on payroll counts everyone employed during the month: headcount at the start of the month plus that month's starts. Attrition leaves at month end.</t>
  </si>
  <si>
    <t>Commission is paid on new ARR at the rate on Rep capacity (variable pay / annual street quota). A rep at expected attainment earns that share of variable pay. No accelerators, clawbacks or ramp guarantees.</t>
  </si>
  <si>
    <t>Sales overhead is one flat share of AE pay standing in for SDRs, sales engineers, managers, enablement and tools. Marketing fixed cost is flat by month.</t>
  </si>
  <si>
    <t>Leads for the plan of record use the baseline win rate, deal size and conversion rates, less the bookings new hires close from inherited pipeline. The forecast track uses the leads the Funnel actually produces.</t>
  </si>
  <si>
    <t>Magic number = net new ARR / sales and marketing spend. Quarterly uses the prior quarter's spend (quarter 1 uses its own); the yearly figure uses the same year's spend.</t>
  </si>
  <si>
    <t>New-logo CAC payback (months) = sales and marketing spend / (new-logo ARR x gross margin) x 12. It counts new logos only, so it ignores expansion.</t>
  </si>
  <si>
    <t>Spend outside sales and marketing (R&amp;D, G&amp;A, customer success) is not modeled.</t>
  </si>
  <si>
    <t>Notes: how the model works</t>
  </si>
  <si>
    <t>The chain, one tab at a time</t>
  </si>
  <si>
    <t>Inputs: every assumption on one row, baseline value and live value side by side, plus the hire schedule, overrides and a live scorecard.</t>
  </si>
  <si>
    <t>Rep capacity: street quota from the baseline (hours on open opportunities / hours per opportunity x win rate x deal / attainment), and what the live inputs imply.</t>
  </si>
  <si>
    <t>Hiring plan: a cohort solver at baseline turns each segment's year-end target into the earliest whole-person starts that close the gap.</t>
  </si>
  <si>
    <t>Capacity: two tracks per segment. Plan of record (recommended starts, baseline) and forecast (starts used, live inputs).</t>
  </si>
  <si>
    <t>Funnel: leads to MQL to SQL, a queue above rep capacity, pipeline created, closable one live cycle later, checked against the plan of record.</t>
  </si>
  <si>
    <t>ARR: the forecast books the lower of bookings at scenario inputs and what the funnel can close; the plan of record rolls forward alongside.</t>
  </si>
  <si>
    <t>Cost: sales and marketing spend behind each track (rep pay, commission, overhead, marketing) and the magic number and CAC payback it buys.</t>
  </si>
  <si>
    <t>Start here: the executive table, the charts and the operator playbook.</t>
  </si>
  <si>
    <t>Baseline values (Inputs columns B to D) set the plan once: targets, mix, baseline win rate and deal size, hours on open opportunities, hours per opportunity, attainment, OTE, cycle, team, ramp, attrition, retention, conversion rates and cost per lead.</t>
  </si>
  <si>
    <t>They drive street quota, the recommended starts and the plan of record. Changing one deliberately re-plans.</t>
  </si>
  <si>
    <t>Live (scenario) values (Inputs columns E to G) describe what actually happens: live win rate and deal size, conversion rates, live cycle, hours, ramp, inherited pipeline, attrition, retention, cost per lead, opening pipeline coverage, queue survival and lead commits.</t>
  </si>
  <si>
    <t>They drive implied attainment, bookings at scenario inputs, the whole Funnel tab and the forecast. Street quota, recommended starts and the plan of record never move.</t>
  </si>
  <si>
    <t>Live cells are typed values equal to the baseline defaults, so they stay blue inputs. A live cell that differs from the baseline on its row turns amber. Rows with no baseline (opening pipeline coverage, queue survival, lead commits) or no live value (attainment, OTE, ramped reps, variable share) are grey on the unused side.</t>
  </si>
  <si>
    <t>To re-plan, change the baseline value and type the same value in the live column. Otherwise the forecast keeps testing the old assumption against the new plan, and the amber cell shows it.</t>
  </si>
  <si>
    <t>There is no plan mode switch. The forecast always rolls forward and the plan of record is always shown next to it.</t>
  </si>
  <si>
    <t>Street quota and implied attainment</t>
  </si>
  <si>
    <t>Street quota = baseline productivity / expected attainment, so a rep at expected attainment lands on the productivity the baseline funnel math supports.</t>
  </si>
  <si>
    <t>The number on the comp plan is fixed for the year. A worse market shows up as missed attainment (Rep capacity) and a lower forecast, not a smaller quota.</t>
  </si>
  <si>
    <t>Pipeline coverage, as pipeline reviews define it</t>
  </si>
  <si>
    <t>Closable pipeline in a quarter = pipeline created in the months whose SQLs close inside the quarter (live cycle) + the share of the opening pipeline that closes in it + pipeline new hires inherit.</t>
  </si>
  <si>
    <t>Coverage = closable pipeline / the quarter's bookings plan of record. The target is the coverage buffer / the segment's live win rate.</t>
  </si>
  <si>
    <t>Funnel sufficiency at the live win rate = new ARR the funnel can close / plan of record; 1.0x means the funnel exactly delivers the plan.</t>
  </si>
  <si>
    <t>All three months of a quarter carry the quarter's pipeline flag. Rep load is tested month by month against the tolerance.</t>
  </si>
  <si>
    <t>Demand: queue, lead pacing and overrides</t>
  </si>
  <si>
    <t>SQLs above what the pipeline-working reps can take on (a full load: rep-equivalents x max SQLs per rep) wait in a queue and are worked when capacity frees up. The load tolerance on Inputs only sets the Rep load flag.</t>
  </si>
  <si>
    <t>Queued SQLs surviving to next month (Inputs row 42, live only) is the share of the month-end queue still workable next month. At 100% (default) nothing is lost; at 70% the queue loses 30% a month, shown in the queue lost rows on Funnel and in the quarterly block. Lost SQLs never create pipeline.</t>
  </si>
  <si>
    <t>Paced to plan: Marketing delivers each month the leads required one live cycle ahead, so lead volume grows with the plan of record team. Hires beyond the plan get no extra leads unless you add a lead override. This is the default.</t>
  </si>
  <si>
    <t>Flat commit: Marketing delivers the same number every month of the year. The defaults equal the required averages, so flipping to flat shows the timing problem, not a volume problem.</t>
  </si>
  <si>
    <t>A monthly lead override on Inputs wins over both. Blank means pacing or commit, 0 means no leads that month.</t>
  </si>
  <si>
    <t>The opening pipeline closes in equal parts over the first live sales cycle, so a long-cycle segment has closable pipeline from month 1. It is a multiple (Inputs, default 1.0) of the book the ramped reps at start carry at the baseline cycle, so it resizes when the plan changes.</t>
  </si>
  <si>
    <t>Deals a new hire inherits (the inherited pipeline share) count as pipeline already open. They are not part of what Marketing is asked to create.</t>
  </si>
  <si>
    <t>Cohort hiring solver</t>
  </si>
  <si>
    <t>Each segment's year-end ARR target is cumulative and fixed at the start: month 12 = starting ARR x starting mix + target mix x year 1 target; month 24 adds target mix x year 2 target. The three segments add up to the company target.</t>
  </si>
  <si>
    <t>The continuing team (ramped reps at start plus prior-year hires, surviving at baseline attrition) is rolled forward with baseline retention to an ending ARR without new hires.</t>
  </si>
  <si>
    <t>The contribution of one hire starting in month m is its monthly bookings credit x street quota x expected attainment, carried to year end at baseline retention, surviving at baseline attrition.</t>
  </si>
  <si>
    <t>Reps start in hiring classes so onboarding and training run as a group. Recommended starts in a class month = ROUNDUP((needed minus earlier starts' contribution) / one hire's contribution), capped at the class size, earliest class first.</t>
  </si>
  <si>
    <t>Hires are whole people, so the plan of record lands at or above every year-end target. It falls below only if the class size binds or no start can book inside the year; the Hiring plan shows the overshoot or shortfall in dollars.</t>
  </si>
  <si>
    <t>Attrition is a true annual rate: each cohort keeps (1 minus the rate) ^ (1/12) of its reps each month, so the full annual share is gone after 12 months.</t>
  </si>
  <si>
    <t>Year 2 rolls forward from the plan of record at month 12, so a year 1 overshoot counts toward year 2 and reduces year 2 hiring. Year 2 net new ARR can therefore sit below its own target while month 24 ending ARR is above it.</t>
  </si>
  <si>
    <t>The recommendation reads baseline inputs only. Overrides change the starts used, the forecast and the late-hire check, never the recommendation.</t>
  </si>
  <si>
    <t>Cost and unit economics</t>
  </si>
  <si>
    <t>Rep pay: reps on payroll (start-of-month headcount + that month's starts) x base pay x loaded cost factor. Base pay = OTE x (1 minus variable share).</t>
  </si>
  <si>
    <t>Commission: new ARR x commission rate, where the rate = variable pay at 100% of quota / annual street quota. No accelerators, so a rep at expected attainment earns that share of variable pay.</t>
  </si>
  <si>
    <t>Sales overhead: one flat share of AE base pay and commission for SDRs, sales engineers, managers, enablement and tools. Marketing: leads x cost per lead, plus a flat monthly fixed cost.</t>
  </si>
  <si>
    <t>The plan of record track prices the recommended team and the leads it requires at baseline inputs. The forecast track prices the team in use and the leads produced at live inputs.</t>
  </si>
  <si>
    <t>Magic number = net new ARR / sales and marketing spend (quarterly: prior quarter's spend; yearly: same year). New-logo CAC payback = spend / (new-logo ARR x gross margin) x 12.</t>
  </si>
  <si>
    <t>Adding hires or leads now shows its cost: the forecast's spend rises at once, while ARR rises only if the funnel and the ramp let it.</t>
  </si>
  <si>
    <t>Retention</t>
  </si>
  <si>
    <t>Churn, contraction and expansion are applied each month as one twelfth of the annual rate to that month's beginning ARR. The forecast uses live rates, the plan of record baseline rates.</t>
  </si>
  <si>
    <t>GRR and NRR follow the customers already there 12 months earlier, at the live rates, shown from month 12. GRR keeps churn and contraction, NRR adds expansion, and new logos are excluded. The company figure weights segments by their ARR 12 months earlier.</t>
  </si>
  <si>
    <t>Glossary</t>
  </si>
  <si>
    <t>Plan of record: what the recommended team delivers at the baseline values. It is the plan the company commits to.</t>
  </si>
  <si>
    <t>Forecast: the same engine run at the live values with the starts actually used, capped by what the funnel can close.</t>
  </si>
  <si>
    <t>Baseline and live: the two value columns on Inputs (B to D and E to G). Live values are the scenario being tested.</t>
  </si>
  <si>
    <t>Bookings, new ARR and new-logo ARR: the same thing, ARR from new customers closed in the period.</t>
  </si>
  <si>
    <t>Net new ARR: new-logo ARR plus expansion minus contraction and churn. It equals the change in ending ARR.</t>
  </si>
  <si>
    <t>Street quota: the annual number on a rep's comp plan, baseline productivity / expected attainment.</t>
  </si>
  <si>
    <t>What the model leaves out on purpose</t>
  </si>
  <si>
    <t>Seasonality: every month gets the same conversion and retention rates, and a flat commit is flat within each year.</t>
  </si>
  <si>
    <t>Logo counts: the model tracks dollars, so churn is a share of ARR rather than a number of accounts.</t>
  </si>
  <si>
    <t>Contract terms: no multi-year contracts, renewal timing, price changes, uplift or discounting.</t>
  </si>
  <si>
    <t>Opening pipeline detail: it closes straight-line over one live cycle at the live win rate, with no ageing or stage weighting.</t>
  </si>
  <si>
    <t>Slippage: a deal closes exactly one cycle after its SQL, and a queued SQL waits, losing only the flat share set by the queue survival rate.</t>
  </si>
  <si>
    <t>Ramp detail: activity rises in a straight line from zero; bookings follow by exactly one cycle; inherited pipeline is a flat share rather than a decaying book.</t>
  </si>
  <si>
    <t>Cost detail: one flat overhead share instead of SDR, sales engineer and manager ratios; no accelerators, clawbacks, ramp guarantees or recruiting fees; no spend outside sales and marketing.</t>
  </si>
  <si>
    <t>Backfills: attrition removes fractional reps and nothing is hired automatically to replace them, so headcount drifts down late in year 2 once the year-end targets are covered. Add backfills in the override rows to see their cost.</t>
  </si>
  <si>
    <t>The solver is an earliest-start rule, not a hiring-cost optimization. The forecast is a monthly minimum of two numbers, not a probability-weighted forecast.</t>
  </si>
  <si>
    <t>Assumption evidence log (source, as-of date and owner are blank for the operator to fill)</t>
  </si>
  <si>
    <t>Current value (the default until changed)</t>
  </si>
  <si>
    <t>Source</t>
  </si>
  <si>
    <t>As-of date</t>
  </si>
  <si>
    <t>Owner</t>
  </si>
  <si>
    <t>Starting ARR mix, SMB / Mid-market / Enterprise</t>
  </si>
  <si>
    <t>Target net new ARR mix, SMB / Mid-market / Enterprise</t>
  </si>
  <si>
    <t>SQL win rate, baseline, SMB / Mid-market / Enterprise</t>
  </si>
  <si>
    <t>Sales cycle, baseline (months)</t>
  </si>
  <si>
    <t>Activity ramp, baseline (months after the start month)</t>
  </si>
  <si>
    <t>Inherited pipeline at start, baseline</t>
  </si>
  <si>
    <t>Annual rep attrition, baseline</t>
  </si>
  <si>
    <t>Gross churn, baseline (annual)</t>
  </si>
  <si>
    <t>Contraction, baseline (annual)</t>
  </si>
  <si>
    <t>Expansion, baseline (annual)</t>
  </si>
  <si>
    <t>Lead to MQL rate, baseline</t>
  </si>
  <si>
    <t>MQL to SQL rate, baseline</t>
  </si>
  <si>
    <t>Opening pipeline coverage (x)</t>
  </si>
  <si>
    <t>Coverage buffer</t>
  </si>
  <si>
    <t>Rep load tolerance</t>
  </si>
  <si>
    <t>Hiring class size</t>
  </si>
  <si>
    <t>Queued SQLs surviving to next month, SMB / Mid-market / Enterprise</t>
  </si>
  <si>
    <t>Marketing program cost per lead, baseline ($)</t>
  </si>
  <si>
    <t>Loaded cost factor on base pay</t>
  </si>
</sst>
</file>

<file path=xl/styles.xml><?xml version="1.0" encoding="utf-8"?>
<styleSheet xmlns="http://schemas.openxmlformats.org/spreadsheetml/2006/main" xmlns:x14ac="http://schemas.microsoft.com/office/spreadsheetml/2009/9/ac" xmlns:mc="http://schemas.openxmlformats.org/markup-compatibility/2006">
  <numFmts count="10">
    <numFmt numFmtId="164" formatCode="$#,##0;($#,##0);&quot;-&quot;"/>
    <numFmt numFmtId="165" formatCode="#,##0;(#,##0);&quot;-&quot;"/>
    <numFmt numFmtId="166" formatCode="0.00&quot;x&quot;"/>
    <numFmt numFmtId="167" formatCode="#,##0.0;(#,##0.0);&quot;-&quot;"/>
    <numFmt numFmtId="168" formatCode="0.0&quot;x&quot;"/>
    <numFmt numFmtId="169" formatCode="0.0%"/>
    <numFmt numFmtId="170" formatCode="0.0%;(0.0%);&quot;-&quot;"/>
    <numFmt numFmtId="171" formatCode="#,##0.0"/>
    <numFmt numFmtId="172" formatCode="0.00%;(0.00%);&quot;-&quot;"/>
    <numFmt numFmtId="173" formatCode="#,##0.00;(#,##0.00);&quot;-&quot;"/>
  </numFmts>
  <fonts count="7">
    <font>
      <sz val="11.0"/>
      <color theme="1"/>
      <name val="Calibri"/>
      <scheme val="minor"/>
    </font>
    <font>
      <b/>
      <sz val="12.0"/>
      <color theme="1"/>
      <name val="Calibri"/>
      <scheme val="minor"/>
    </font>
    <font>
      <color theme="1"/>
      <name val="Calibri"/>
      <scheme val="minor"/>
    </font>
    <font>
      <b/>
      <color theme="1"/>
      <name val="Calibri"/>
      <scheme val="minor"/>
    </font>
    <font>
      <i/>
      <color theme="1"/>
      <name val="Calibri"/>
      <scheme val="minor"/>
    </font>
    <font>
      <color rgb="FF0000FF"/>
      <name val="Calibri"/>
      <scheme val="minor"/>
    </font>
    <font>
      <b/>
      <i/>
      <color theme="1"/>
      <name val="Calibri"/>
      <scheme val="minor"/>
    </font>
  </fonts>
  <fills count="4">
    <fill>
      <patternFill patternType="none"/>
    </fill>
    <fill>
      <patternFill patternType="lightGray"/>
    </fill>
    <fill>
      <patternFill patternType="solid">
        <fgColor rgb="FFEDEDED"/>
        <bgColor rgb="FFEDEDED"/>
      </patternFill>
    </fill>
    <fill>
      <patternFill patternType="solid">
        <fgColor rgb="FFFFF7E1"/>
        <bgColor rgb="FFFFF7E1"/>
      </patternFill>
    </fill>
  </fills>
  <borders count="1">
    <border/>
  </borders>
  <cellStyleXfs count="1">
    <xf borderId="0" fillId="0" fontId="0" numFmtId="0" applyAlignment="1" applyFont="1"/>
  </cellStyleXfs>
  <cellXfs count="109">
    <xf borderId="0" fillId="0" fontId="0" numFmtId="0" xfId="0" applyAlignment="1" applyFont="1">
      <alignment readingOrder="0" shrinkToFit="0" vertical="bottom" wrapText="0"/>
    </xf>
    <xf borderId="0" fillId="0" fontId="1" numFmtId="0" xfId="0" applyAlignment="1" applyFont="1">
      <alignment readingOrder="0" shrinkToFit="0" wrapText="0"/>
    </xf>
    <xf borderId="0" fillId="0" fontId="2" numFmtId="0" xfId="0" applyAlignment="1" applyFont="1">
      <alignment readingOrder="0" shrinkToFit="0" wrapText="0"/>
    </xf>
    <xf borderId="0" fillId="0" fontId="2" numFmtId="0" xfId="0" applyAlignment="1" applyFont="1">
      <alignment shrinkToFit="0" vertical="top" wrapText="1"/>
    </xf>
    <xf borderId="0" fillId="2" fontId="3" numFmtId="0" xfId="0" applyAlignment="1" applyFill="1" applyFont="1">
      <alignment readingOrder="0" shrinkToFit="0" vertical="top" wrapText="1"/>
    </xf>
    <xf borderId="0" fillId="2" fontId="3" numFmtId="0" xfId="0" applyAlignment="1" applyFill="1" applyFont="1">
      <alignment horizontal="right" readingOrder="0" shrinkToFit="0" vertical="top" wrapText="1"/>
    </xf>
    <xf borderId="0" fillId="0" fontId="2" numFmtId="0" xfId="0" applyAlignment="1" applyFont="1">
      <alignment readingOrder="0" shrinkToFit="0" vertical="top" wrapText="1"/>
    </xf>
    <xf borderId="0" fillId="0" fontId="2" numFmtId="164" xfId="0" applyAlignment="1" applyFont="1" applyNumberFormat="1">
      <alignment shrinkToFit="0" vertical="top" wrapText="1"/>
    </xf>
    <xf borderId="0" fillId="2" fontId="3" numFmtId="0" xfId="0" applyAlignment="1" applyFill="1" applyFont="1">
      <alignment shrinkToFit="0" vertical="top" wrapText="1"/>
    </xf>
    <xf borderId="0" fillId="0" fontId="2" numFmtId="165" xfId="0" applyAlignment="1" applyFont="1" applyNumberFormat="1">
      <alignment shrinkToFit="0" vertical="top" wrapText="1"/>
    </xf>
    <xf borderId="0" fillId="0" fontId="2" numFmtId="166" xfId="0" applyAlignment="1" applyFont="1" applyNumberFormat="1">
      <alignment shrinkToFit="0" vertical="top" wrapText="1"/>
    </xf>
    <xf borderId="0" fillId="0" fontId="2" numFmtId="167" xfId="0" applyAlignment="1" applyFont="1" applyNumberFormat="1">
      <alignment shrinkToFit="0" vertical="top" wrapText="1"/>
    </xf>
    <xf borderId="0" fillId="0" fontId="3" numFmtId="0" xfId="0" applyAlignment="1" applyFont="1">
      <alignment readingOrder="0" shrinkToFit="0" vertical="top" wrapText="1"/>
    </xf>
    <xf borderId="0" fillId="0" fontId="4" numFmtId="0" xfId="0" applyAlignment="1" applyFont="1">
      <alignment readingOrder="0" shrinkToFit="0" wrapText="0"/>
    </xf>
    <xf borderId="0" fillId="0" fontId="5" numFmtId="164" xfId="0" applyAlignment="1" applyFont="1" applyNumberFormat="1">
      <alignment readingOrder="0" shrinkToFit="0" vertical="top" wrapText="1"/>
    </xf>
    <xf borderId="0" fillId="0" fontId="3" numFmtId="0" xfId="0" applyAlignment="1" applyFont="1">
      <alignment horizontal="right" readingOrder="0" shrinkToFit="0" vertical="top" wrapText="1"/>
    </xf>
    <xf borderId="0" fillId="0" fontId="3" numFmtId="0" xfId="0" applyAlignment="1" applyFont="1">
      <alignment horizontal="right" shrinkToFit="0" vertical="top" wrapText="1"/>
    </xf>
    <xf borderId="0" fillId="0" fontId="5" numFmtId="0" xfId="0" applyAlignment="1" applyFont="1">
      <alignment horizontal="right" readingOrder="0" shrinkToFit="0" vertical="top" wrapText="1"/>
    </xf>
    <xf borderId="0" fillId="0" fontId="5" numFmtId="168" xfId="0" applyAlignment="1" applyFont="1" applyNumberFormat="1">
      <alignment readingOrder="0" shrinkToFit="0" vertical="top" wrapText="1"/>
    </xf>
    <xf borderId="0" fillId="0" fontId="3" numFmtId="164" xfId="0" applyAlignment="1" applyFont="1" applyNumberFormat="1">
      <alignment shrinkToFit="0" vertical="top" wrapText="1"/>
    </xf>
    <xf borderId="0" fillId="0" fontId="5" numFmtId="166" xfId="0" applyAlignment="1" applyFont="1" applyNumberFormat="1">
      <alignment readingOrder="0" shrinkToFit="0" vertical="top" wrapText="1"/>
    </xf>
    <xf borderId="0" fillId="0" fontId="5" numFmtId="3" xfId="0" applyAlignment="1" applyFont="1" applyNumberFormat="1">
      <alignment readingOrder="0" shrinkToFit="0" vertical="top" wrapText="1"/>
    </xf>
    <xf borderId="0" fillId="0" fontId="5" numFmtId="169" xfId="0" applyAlignment="1" applyFont="1" applyNumberFormat="1">
      <alignment readingOrder="0" shrinkToFit="0" vertical="top" wrapText="1"/>
    </xf>
    <xf borderId="0" fillId="0" fontId="2" numFmtId="169" xfId="0" applyAlignment="1" applyFont="1" applyNumberFormat="1">
      <alignment shrinkToFit="0" vertical="top" wrapText="1"/>
    </xf>
    <xf borderId="0" fillId="2" fontId="3" numFmtId="0" xfId="0" applyAlignment="1" applyFill="1" applyFont="1">
      <alignment horizontal="center" readingOrder="0" shrinkToFit="0" vertical="center" wrapText="1"/>
    </xf>
    <xf borderId="0" fillId="3" fontId="3" numFmtId="0" xfId="0" applyAlignment="1" applyFill="1" applyFont="1">
      <alignment horizontal="center" readingOrder="0" shrinkToFit="0" vertical="center" wrapText="1"/>
    </xf>
    <xf borderId="0" fillId="0" fontId="2" numFmtId="170" xfId="0" applyAlignment="1" applyFont="1" applyNumberFormat="1">
      <alignment shrinkToFit="0" vertical="top" wrapText="1"/>
    </xf>
    <xf borderId="0" fillId="3" fontId="3" numFmtId="0" xfId="0" applyAlignment="1" applyFill="1" applyFont="1">
      <alignment horizontal="right" readingOrder="0" shrinkToFit="0" vertical="top" wrapText="1"/>
    </xf>
    <xf borderId="0" fillId="3" fontId="5" numFmtId="169" xfId="0" applyAlignment="1" applyFill="1" applyFont="1" applyNumberFormat="1">
      <alignment readingOrder="0" shrinkToFit="0" vertical="top" wrapText="1"/>
    </xf>
    <xf borderId="0" fillId="3" fontId="5" numFmtId="164" xfId="0" applyAlignment="1" applyFill="1" applyFont="1" applyNumberFormat="1">
      <alignment readingOrder="0" shrinkToFit="0" vertical="top" wrapText="1"/>
    </xf>
    <xf borderId="0" fillId="3" fontId="5" numFmtId="3" xfId="0" applyAlignment="1" applyFill="1" applyFont="1" applyNumberFormat="1">
      <alignment readingOrder="0" shrinkToFit="0" vertical="top" wrapText="1"/>
    </xf>
    <xf borderId="0" fillId="0" fontId="5" numFmtId="171" xfId="0" applyAlignment="1" applyFont="1" applyNumberFormat="1">
      <alignment readingOrder="0" shrinkToFit="0" vertical="top" wrapText="1"/>
    </xf>
    <xf borderId="0" fillId="3" fontId="5" numFmtId="171" xfId="0" applyAlignment="1" applyFill="1" applyFont="1" applyNumberFormat="1">
      <alignment readingOrder="0" shrinkToFit="0" vertical="top" wrapText="1"/>
    </xf>
    <xf borderId="0" fillId="2" fontId="2" numFmtId="169" xfId="0" applyAlignment="1" applyFill="1" applyFont="1" applyNumberFormat="1">
      <alignment shrinkToFit="0" vertical="top" wrapText="1"/>
    </xf>
    <xf borderId="0" fillId="2" fontId="2" numFmtId="164" xfId="0" applyAlignment="1" applyFill="1" applyFont="1" applyNumberFormat="1">
      <alignment shrinkToFit="0" vertical="top" wrapText="1"/>
    </xf>
    <xf borderId="0" fillId="2" fontId="2" numFmtId="3" xfId="0" applyAlignment="1" applyFill="1" applyFont="1" applyNumberFormat="1">
      <alignment shrinkToFit="0" vertical="top" wrapText="1"/>
    </xf>
    <xf borderId="0" fillId="2" fontId="2" numFmtId="0" xfId="0" applyAlignment="1" applyFill="1" applyFont="1">
      <alignment shrinkToFit="0" vertical="top" wrapText="1"/>
    </xf>
    <xf borderId="0" fillId="3" fontId="5" numFmtId="166" xfId="0" applyAlignment="1" applyFill="1" applyFont="1" applyNumberFormat="1">
      <alignment readingOrder="0" shrinkToFit="0" vertical="top" wrapText="1"/>
    </xf>
    <xf borderId="0" fillId="0" fontId="4" numFmtId="0" xfId="0" applyAlignment="1" applyFont="1">
      <alignment readingOrder="0" shrinkToFit="0" vertical="top" wrapText="1"/>
    </xf>
    <xf borderId="0" fillId="2" fontId="4" numFmtId="0" xfId="0" applyAlignment="1" applyFill="1" applyFont="1">
      <alignment shrinkToFit="0" vertical="top" wrapText="1"/>
    </xf>
    <xf borderId="0" fillId="0" fontId="4" numFmtId="164" xfId="0" applyAlignment="1" applyFont="1" applyNumberFormat="1">
      <alignment shrinkToFit="0" vertical="top" wrapText="1"/>
    </xf>
    <xf borderId="0" fillId="2" fontId="2" numFmtId="165" xfId="0" applyAlignment="1" applyFill="1" applyFont="1" applyNumberFormat="1">
      <alignment shrinkToFit="0" vertical="top" wrapText="1"/>
    </xf>
    <xf borderId="0" fillId="3" fontId="5" numFmtId="165" xfId="0" applyAlignment="1" applyFill="1" applyFont="1" applyNumberFormat="1">
      <alignment readingOrder="0" shrinkToFit="0" vertical="top" wrapText="1"/>
    </xf>
    <xf borderId="0" fillId="2" fontId="4" numFmtId="165" xfId="0" applyAlignment="1" applyFill="1" applyFont="1" applyNumberFormat="1">
      <alignment shrinkToFit="0" vertical="top" wrapText="1"/>
    </xf>
    <xf borderId="0" fillId="0" fontId="4" numFmtId="165" xfId="0" applyAlignment="1" applyFont="1" applyNumberFormat="1">
      <alignment shrinkToFit="0" vertical="top" wrapText="1"/>
    </xf>
    <xf borderId="0" fillId="0" fontId="4" numFmtId="0" xfId="0" applyAlignment="1" applyFont="1">
      <alignment shrinkToFit="0" vertical="top" wrapText="1"/>
    </xf>
    <xf borderId="0" fillId="2" fontId="3" numFmtId="0" xfId="0" applyFill="1" applyFont="1"/>
    <xf borderId="0" fillId="2" fontId="3" numFmtId="0" xfId="0" applyAlignment="1" applyFill="1" applyFont="1">
      <alignment horizontal="right" shrinkToFit="0" vertical="top" wrapText="1"/>
    </xf>
    <xf borderId="0" fillId="2" fontId="3" numFmtId="0" xfId="0" applyAlignment="1" applyFill="1" applyFont="1">
      <alignment horizontal="right"/>
    </xf>
    <xf borderId="0" fillId="2" fontId="3" numFmtId="0" xfId="0" applyAlignment="1" applyFill="1" applyFont="1">
      <alignment horizontal="right" readingOrder="0"/>
    </xf>
    <xf borderId="0" fillId="0" fontId="3" numFmtId="0" xfId="0" applyAlignment="1" applyFont="1">
      <alignment shrinkToFit="0" vertical="top" wrapText="1"/>
    </xf>
    <xf borderId="0" fillId="0" fontId="3" numFmtId="0" xfId="0" applyFont="1"/>
    <xf borderId="0" fillId="0" fontId="2" numFmtId="165" xfId="0" applyAlignment="1" applyFont="1" applyNumberFormat="1">
      <alignment horizontal="right"/>
    </xf>
    <xf borderId="0" fillId="0" fontId="3" numFmtId="165" xfId="0" applyAlignment="1" applyFont="1" applyNumberFormat="1">
      <alignment shrinkToFit="0" vertical="top" wrapText="1"/>
    </xf>
    <xf borderId="0" fillId="0" fontId="3" numFmtId="165" xfId="0" applyAlignment="1" applyFont="1" applyNumberFormat="1">
      <alignment horizontal="right"/>
    </xf>
    <xf borderId="0" fillId="3" fontId="5" numFmtId="165" xfId="0" applyAlignment="1" applyFill="1" applyFont="1" applyNumberFormat="1">
      <alignment horizontal="right"/>
    </xf>
    <xf borderId="0" fillId="0" fontId="2" numFmtId="168" xfId="0" applyAlignment="1" applyFont="1" applyNumberFormat="1">
      <alignment shrinkToFit="0" vertical="top" wrapText="1"/>
    </xf>
    <xf borderId="0" fillId="0" fontId="2" numFmtId="0" xfId="0" applyAlignment="1" applyFont="1">
      <alignment horizontal="right" shrinkToFit="0" vertical="top" wrapText="1"/>
    </xf>
    <xf borderId="0" fillId="0" fontId="2" numFmtId="166" xfId="0" applyAlignment="1" applyFont="1" applyNumberFormat="1">
      <alignment horizontal="right" shrinkToFit="0" vertical="top" wrapText="1"/>
    </xf>
    <xf borderId="0" fillId="0" fontId="3" numFmtId="172" xfId="0" applyAlignment="1" applyFont="1" applyNumberFormat="1">
      <alignment shrinkToFit="0" vertical="top" wrapText="1"/>
    </xf>
    <xf borderId="0" fillId="3" fontId="2" numFmtId="165" xfId="0" applyAlignment="1" applyFill="1" applyFont="1" applyNumberFormat="1">
      <alignment shrinkToFit="0" vertical="top" wrapText="1"/>
    </xf>
    <xf borderId="0" fillId="3" fontId="2" numFmtId="167" xfId="0" applyAlignment="1" applyFill="1" applyFont="1" applyNumberFormat="1">
      <alignment shrinkToFit="0" vertical="top" wrapText="1"/>
    </xf>
    <xf borderId="0" fillId="3" fontId="2" numFmtId="170" xfId="0" applyAlignment="1" applyFill="1" applyFont="1" applyNumberFormat="1">
      <alignment shrinkToFit="0" vertical="top" wrapText="1"/>
    </xf>
    <xf borderId="0" fillId="3" fontId="2" numFmtId="164" xfId="0" applyAlignment="1" applyFill="1" applyFont="1" applyNumberFormat="1">
      <alignment shrinkToFit="0" vertical="top" wrapText="1"/>
    </xf>
    <xf borderId="0" fillId="3" fontId="3" numFmtId="170" xfId="0" applyAlignment="1" applyFill="1" applyFont="1" applyNumberFormat="1">
      <alignment shrinkToFit="0" vertical="top" wrapText="1"/>
    </xf>
    <xf borderId="0" fillId="3" fontId="2" numFmtId="166" xfId="0" applyAlignment="1" applyFill="1" applyFont="1" applyNumberFormat="1">
      <alignment shrinkToFit="0" vertical="top" wrapText="1"/>
    </xf>
    <xf borderId="0" fillId="3" fontId="3" numFmtId="166" xfId="0" applyAlignment="1" applyFill="1" applyFont="1" applyNumberFormat="1">
      <alignment shrinkToFit="0" vertical="top" wrapText="1"/>
    </xf>
    <xf borderId="0" fillId="2" fontId="3" numFmtId="0" xfId="0" applyAlignment="1" applyFill="1" applyFont="1">
      <alignment readingOrder="0"/>
    </xf>
    <xf borderId="0" fillId="2" fontId="3" numFmtId="0" xfId="0" applyAlignment="1" applyFill="1" applyFont="1">
      <alignment horizontal="right" readingOrder="0"/>
    </xf>
    <xf borderId="0" fillId="0" fontId="4" numFmtId="0" xfId="0" applyFont="1"/>
    <xf borderId="0" fillId="0" fontId="2" numFmtId="164" xfId="0" applyFont="1" applyNumberFormat="1"/>
    <xf borderId="0" fillId="0" fontId="3" numFmtId="164" xfId="0" applyFont="1" applyNumberFormat="1"/>
    <xf borderId="0" fillId="0" fontId="3" numFmtId="165" xfId="0" applyFont="1" applyNumberFormat="1"/>
    <xf borderId="0" fillId="0" fontId="2" numFmtId="165" xfId="0" applyFont="1" applyNumberFormat="1"/>
    <xf borderId="0" fillId="0" fontId="2" numFmtId="164" xfId="0" applyAlignment="1" applyFont="1" applyNumberFormat="1">
      <alignment readingOrder="0"/>
    </xf>
    <xf borderId="0" fillId="0" fontId="2" numFmtId="173" xfId="0" applyFont="1" applyNumberFormat="1"/>
    <xf borderId="0" fillId="0" fontId="3" numFmtId="173" xfId="0" applyFont="1" applyNumberFormat="1"/>
    <xf borderId="0" fillId="0" fontId="4" numFmtId="164" xfId="0" applyFont="1" applyNumberFormat="1"/>
    <xf borderId="0" fillId="0" fontId="6" numFmtId="164" xfId="0" applyFont="1" applyNumberFormat="1"/>
    <xf borderId="0" fillId="3" fontId="3" numFmtId="0" xfId="0" applyAlignment="1" applyFill="1" applyFont="1">
      <alignment readingOrder="0" shrinkToFit="0" vertical="top" wrapText="1"/>
    </xf>
    <xf borderId="0" fillId="3" fontId="3" numFmtId="0" xfId="0" applyFill="1" applyFont="1"/>
    <xf borderId="0" fillId="3" fontId="3" numFmtId="164" xfId="0" applyFill="1" applyFont="1" applyNumberFormat="1"/>
    <xf borderId="0" fillId="0" fontId="3" numFmtId="0" xfId="0" applyAlignment="1" applyFont="1">
      <alignment horizontal="right" readingOrder="0"/>
    </xf>
    <xf borderId="0" fillId="0" fontId="3" numFmtId="0" xfId="0" applyAlignment="1" applyFont="1">
      <alignment horizontal="right"/>
    </xf>
    <xf borderId="0" fillId="0" fontId="3" numFmtId="166" xfId="0" applyFont="1" applyNumberFormat="1"/>
    <xf borderId="0" fillId="0" fontId="2" numFmtId="166" xfId="0" applyFont="1" applyNumberFormat="1"/>
    <xf borderId="0" fillId="0" fontId="2" numFmtId="167" xfId="0" applyFont="1" applyNumberFormat="1"/>
    <xf borderId="0" fillId="0" fontId="3" numFmtId="167" xfId="0" applyFont="1" applyNumberFormat="1"/>
    <xf borderId="0" fillId="0" fontId="2" numFmtId="167" xfId="0" applyAlignment="1" applyFont="1" applyNumberFormat="1">
      <alignment readingOrder="0"/>
    </xf>
    <xf borderId="0" fillId="0" fontId="4" numFmtId="166" xfId="0" applyFont="1" applyNumberFormat="1"/>
    <xf borderId="0" fillId="0" fontId="6" numFmtId="166" xfId="0" applyFont="1" applyNumberFormat="1"/>
    <xf borderId="0" fillId="0" fontId="3" numFmtId="0" xfId="0" applyAlignment="1" applyFont="1">
      <alignment horizontal="center"/>
    </xf>
    <xf borderId="0" fillId="2" fontId="3" numFmtId="0" xfId="0" applyAlignment="1" applyFill="1" applyFont="1">
      <alignment horizontal="right" readingOrder="0" shrinkToFit="0" wrapText="1"/>
    </xf>
    <xf borderId="0" fillId="3" fontId="3" numFmtId="0" xfId="0" applyAlignment="1" applyFill="1" applyFont="1">
      <alignment horizontal="right" readingOrder="0" shrinkToFit="0" wrapText="1"/>
    </xf>
    <xf borderId="0" fillId="3" fontId="2" numFmtId="164" xfId="0" applyFill="1" applyFont="1" applyNumberFormat="1"/>
    <xf borderId="0" fillId="0" fontId="2" numFmtId="170" xfId="0" applyFont="1" applyNumberFormat="1"/>
    <xf borderId="0" fillId="3" fontId="3" numFmtId="166" xfId="0" applyFill="1" applyFont="1" applyNumberFormat="1"/>
    <xf borderId="0" fillId="3" fontId="3" numFmtId="167" xfId="0" applyFill="1" applyFont="1" applyNumberFormat="1"/>
    <xf borderId="0" fillId="3" fontId="2" numFmtId="0" xfId="0" applyAlignment="1" applyFill="1" applyFont="1">
      <alignment readingOrder="0" shrinkToFit="0" vertical="top" wrapText="1"/>
    </xf>
    <xf borderId="0" fillId="0" fontId="2" numFmtId="0" xfId="0" applyAlignment="1" applyFont="1">
      <alignment readingOrder="0" shrinkToFit="0" vertical="top" wrapText="1"/>
    </xf>
    <xf borderId="0" fillId="0" fontId="2" numFmtId="164" xfId="0" applyFont="1" applyNumberFormat="1"/>
    <xf borderId="0" fillId="0" fontId="1" numFmtId="0" xfId="0" applyAlignment="1" applyFont="1">
      <alignment readingOrder="0" shrinkToFit="0" vertical="top" wrapText="1"/>
    </xf>
    <xf borderId="0" fillId="0" fontId="3" numFmtId="0" xfId="0" applyAlignment="1" applyFont="1">
      <alignment horizontal="right" readingOrder="0"/>
    </xf>
    <xf borderId="0" fillId="0" fontId="3" numFmtId="0" xfId="0" applyAlignment="1" applyFont="1">
      <alignment readingOrder="0"/>
    </xf>
    <xf borderId="0" fillId="0" fontId="2" numFmtId="164" xfId="0" applyAlignment="1" applyFont="1" applyNumberFormat="1">
      <alignment horizontal="right" shrinkToFit="0" vertical="top" wrapText="1"/>
    </xf>
    <xf borderId="0" fillId="0" fontId="5" numFmtId="0" xfId="0" applyAlignment="1" applyFont="1">
      <alignment shrinkToFit="0" vertical="top" wrapText="1"/>
    </xf>
    <xf borderId="0" fillId="0" fontId="2" numFmtId="168" xfId="0" applyAlignment="1" applyFont="1" applyNumberFormat="1">
      <alignment horizontal="right" shrinkToFit="0" vertical="top" wrapText="1"/>
    </xf>
    <xf borderId="0" fillId="0" fontId="2" numFmtId="3" xfId="0" applyAlignment="1" applyFont="1" applyNumberFormat="1">
      <alignment horizontal="right" shrinkToFit="0" vertical="top" wrapText="1"/>
    </xf>
    <xf borderId="0" fillId="0" fontId="2" numFmtId="170" xfId="0" applyAlignment="1" applyFont="1" applyNumberFormat="1">
      <alignment horizontal="right" shrinkToFit="0" vertical="top" wrapText="1"/>
    </xf>
  </cellXfs>
  <cellStyles count="1">
    <cellStyle xfId="0" name="Normal" builtinId="0"/>
  </cellStyles>
  <dxfs count="1">
    <dxf>
      <font>
        <b/>
      </font>
      <fill>
        <patternFill patternType="solid">
          <fgColor rgb="FFFFBF00"/>
          <bgColor rgb="FFFFBF00"/>
        </patternFill>
      </fill>
      <border/>
    </dxf>
  </dxfs>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charts/chart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a:solidFill>
                  <a:srgbClr val="757575"/>
                </a:solidFill>
                <a:latin typeface="+mn-lt"/>
              </a:defRPr>
            </a:pPr>
            <a:r>
              <a:rPr b="0">
                <a:solidFill>
                  <a:srgbClr val="757575"/>
                </a:solidFill>
                <a:latin typeface="+mn-lt"/>
              </a:rPr>
              <a:t>Ending ARR by month ($): target line, plan of record and forecast</a:t>
            </a:r>
          </a:p>
        </c:rich>
      </c:tx>
      <c:overlay val="0"/>
    </c:title>
    <c:plotArea>
      <c:layout/>
      <c:lineChart>
        <c:ser>
          <c:idx val="0"/>
          <c:order val="0"/>
          <c:tx>
            <c:strRef>
              <c:f>ARR!$A$29</c:f>
            </c:strRef>
          </c:tx>
          <c:spPr>
            <a:ln cmpd="sng" w="19050">
              <a:solidFill>
                <a:srgbClr val="4F81BD"/>
              </a:solidFill>
              <a:prstDash val="sysDot"/>
            </a:ln>
          </c:spPr>
          <c:marker>
            <c:symbol val="none"/>
          </c:marker>
          <c:cat>
            <c:strRef>
              <c:f>ARR!$B$2:$Y$2</c:f>
            </c:strRef>
          </c:cat>
          <c:val>
            <c:numRef>
              <c:f>ARR!$B$29:$Y$29</c:f>
              <c:numCache/>
            </c:numRef>
          </c:val>
          <c:smooth val="0"/>
        </c:ser>
        <c:ser>
          <c:idx val="1"/>
          <c:order val="1"/>
          <c:tx>
            <c:strRef>
              <c:f>ARR!$A$30</c:f>
            </c:strRef>
          </c:tx>
          <c:spPr>
            <a:ln cmpd="sng">
              <a:solidFill>
                <a:srgbClr val="C0504D"/>
              </a:solidFill>
            </a:ln>
          </c:spPr>
          <c:marker>
            <c:symbol val="none"/>
          </c:marker>
          <c:cat>
            <c:strRef>
              <c:f>ARR!$B$2:$Y$2</c:f>
            </c:strRef>
          </c:cat>
          <c:val>
            <c:numRef>
              <c:f>ARR!$B$30:$Y$30</c:f>
              <c:numCache/>
            </c:numRef>
          </c:val>
          <c:smooth val="0"/>
        </c:ser>
        <c:ser>
          <c:idx val="2"/>
          <c:order val="2"/>
          <c:tx>
            <c:strRef>
              <c:f>ARR!$A$31</c:f>
            </c:strRef>
          </c:tx>
          <c:spPr>
            <a:ln cmpd="sng" w="19050">
              <a:solidFill>
                <a:srgbClr val="9BBB59"/>
              </a:solidFill>
              <a:prstDash val="dash"/>
            </a:ln>
          </c:spPr>
          <c:marker>
            <c:symbol val="none"/>
          </c:marker>
          <c:cat>
            <c:strRef>
              <c:f>ARR!$B$2:$Y$2</c:f>
            </c:strRef>
          </c:cat>
          <c:val>
            <c:numRef>
              <c:f>ARR!$B$31:$Y$31</c:f>
              <c:numCache/>
            </c:numRef>
          </c:val>
          <c:smooth val="0"/>
        </c:ser>
        <c:axId val="728586255"/>
        <c:axId val="1976367383"/>
      </c:lineChart>
      <c:catAx>
        <c:axId val="72858625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Month</a:t>
                </a:r>
              </a:p>
            </c:rich>
          </c:tx>
          <c:overlay val="0"/>
        </c:title>
        <c:numFmt formatCode="General" sourceLinked="1"/>
        <c:majorTickMark val="none"/>
        <c:minorTickMark val="none"/>
        <c:spPr>
          <a:ln>
            <a:noFill/>
          </a:ln>
        </c:spPr>
        <c:txPr>
          <a:bodyPr/>
          <a:lstStyle/>
          <a:p>
            <a:pPr lvl="0">
              <a:defRPr b="0">
                <a:solidFill>
                  <a:srgbClr val="000000"/>
                </a:solidFill>
                <a:latin typeface="+mn-lt"/>
              </a:defRPr>
            </a:pPr>
          </a:p>
        </c:txPr>
        <c:crossAx val="1976367383"/>
      </c:catAx>
      <c:valAx>
        <c:axId val="1976367383"/>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Ending ARR ($)</a:t>
                </a:r>
              </a:p>
            </c:rich>
          </c:tx>
          <c:overlay val="0"/>
        </c:title>
        <c:numFmt formatCode="General" sourceLinked="1"/>
        <c:majorTickMark val="none"/>
        <c:minorTickMark val="none"/>
        <c:tickLblPos val="nextTo"/>
        <c:spPr>
          <a:ln>
            <a:noFill/>
          </a:ln>
        </c:spPr>
        <c:txPr>
          <a:bodyPr/>
          <a:lstStyle/>
          <a:p>
            <a:pPr lvl="0">
              <a:defRPr b="0">
                <a:solidFill>
                  <a:srgbClr val="000000"/>
                </a:solidFill>
                <a:latin typeface="+mn-lt"/>
              </a:defRPr>
            </a:pPr>
          </a:p>
        </c:txPr>
        <c:crossAx val="728586255"/>
      </c:valAx>
    </c:plotArea>
    <c:legend>
      <c:legendPos val="b"/>
      <c:overlay val="0"/>
      <c:txPr>
        <a:bodyPr/>
        <a:lstStyle/>
        <a:p>
          <a:pPr lvl="0">
            <a:defRPr b="0">
              <a:solidFill>
                <a:srgbClr val="1A1A1A"/>
              </a:solidFill>
              <a:latin typeface="+mn-lt"/>
            </a:defRPr>
          </a:pPr>
        </a:p>
      </c:txPr>
    </c:legend>
    <c:plotVisOnly val="1"/>
  </c:chart>
</c:chartSpace>
</file>

<file path=xl/charts/chart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a:solidFill>
                  <a:srgbClr val="757575"/>
                </a:solidFill>
                <a:latin typeface="+mn-lt"/>
              </a:defRPr>
            </a:pPr>
            <a:r>
              <a:rPr b="0">
                <a:solidFill>
                  <a:srgbClr val="757575"/>
                </a:solidFill>
                <a:latin typeface="+mn-lt"/>
              </a:rPr>
              <a:t>Quarterly new ARR forecast by segment ($)</a:t>
            </a:r>
          </a:p>
        </c:rich>
      </c:tx>
      <c:overlay val="0"/>
    </c:title>
    <c:plotArea>
      <c:layout/>
      <c:barChart>
        <c:barDir val="col"/>
        <c:grouping val="stacked"/>
        <c:ser>
          <c:idx val="0"/>
          <c:order val="0"/>
          <c:tx>
            <c:strRef>
              <c:f>ARR!$A$33</c:f>
            </c:strRef>
          </c:tx>
          <c:spPr>
            <a:solidFill>
              <a:schemeClr val="accent1"/>
            </a:solidFill>
            <a:ln cmpd="sng">
              <a:noFill/>
            </a:ln>
          </c:spPr>
          <c:invertIfNegative val="0"/>
          <c:cat>
            <c:strRef>
              <c:f>ARR!$B$32:$I$32</c:f>
            </c:strRef>
          </c:cat>
          <c:val>
            <c:numRef>
              <c:f>ARR!$B$33:$I$33</c:f>
              <c:numCache/>
            </c:numRef>
          </c:val>
        </c:ser>
        <c:ser>
          <c:idx val="1"/>
          <c:order val="1"/>
          <c:tx>
            <c:strRef>
              <c:f>ARR!$A$34</c:f>
            </c:strRef>
          </c:tx>
          <c:spPr>
            <a:solidFill>
              <a:schemeClr val="accent2"/>
            </a:solidFill>
            <a:ln cmpd="sng">
              <a:noFill/>
            </a:ln>
          </c:spPr>
          <c:invertIfNegative val="0"/>
          <c:cat>
            <c:strRef>
              <c:f>ARR!$B$32:$I$32</c:f>
            </c:strRef>
          </c:cat>
          <c:val>
            <c:numRef>
              <c:f>ARR!$B$34:$I$34</c:f>
              <c:numCache/>
            </c:numRef>
          </c:val>
        </c:ser>
        <c:ser>
          <c:idx val="2"/>
          <c:order val="2"/>
          <c:tx>
            <c:strRef>
              <c:f>ARR!$A$35</c:f>
            </c:strRef>
          </c:tx>
          <c:spPr>
            <a:solidFill>
              <a:schemeClr val="accent3"/>
            </a:solidFill>
            <a:ln cmpd="sng">
              <a:noFill/>
            </a:ln>
          </c:spPr>
          <c:invertIfNegative val="0"/>
          <c:cat>
            <c:strRef>
              <c:f>ARR!$B$32:$I$32</c:f>
            </c:strRef>
          </c:cat>
          <c:val>
            <c:numRef>
              <c:f>ARR!$B$35:$I$35</c:f>
              <c:numCache/>
            </c:numRef>
          </c:val>
        </c:ser>
        <c:overlap val="100"/>
        <c:axId val="1789100865"/>
        <c:axId val="1499909237"/>
      </c:barChart>
      <c:catAx>
        <c:axId val="178910086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Quarter</a:t>
                </a:r>
              </a:p>
            </c:rich>
          </c:tx>
          <c:overlay val="0"/>
        </c:title>
        <c:numFmt formatCode="General" sourceLinked="1"/>
        <c:majorTickMark val="none"/>
        <c:minorTickMark val="none"/>
        <c:spPr>
          <a:ln>
            <a:noFill/>
          </a:ln>
        </c:spPr>
        <c:txPr>
          <a:bodyPr/>
          <a:lstStyle/>
          <a:p>
            <a:pPr lvl="0">
              <a:defRPr b="0">
                <a:solidFill>
                  <a:srgbClr val="000000"/>
                </a:solidFill>
                <a:latin typeface="+mn-lt"/>
              </a:defRPr>
            </a:pPr>
          </a:p>
        </c:txPr>
        <c:crossAx val="1499909237"/>
      </c:catAx>
      <c:valAx>
        <c:axId val="1499909237"/>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New ARR ($)</a:t>
                </a:r>
              </a:p>
            </c:rich>
          </c:tx>
          <c:overlay val="0"/>
        </c:title>
        <c:numFmt formatCode="General" sourceLinked="1"/>
        <c:majorTickMark val="none"/>
        <c:minorTickMark val="none"/>
        <c:tickLblPos val="nextTo"/>
        <c:spPr>
          <a:ln>
            <a:noFill/>
          </a:ln>
        </c:spPr>
        <c:txPr>
          <a:bodyPr/>
          <a:lstStyle/>
          <a:p>
            <a:pPr lvl="0">
              <a:defRPr b="0">
                <a:solidFill>
                  <a:srgbClr val="000000"/>
                </a:solidFill>
                <a:latin typeface="+mn-lt"/>
              </a:defRPr>
            </a:pPr>
          </a:p>
        </c:txPr>
        <c:crossAx val="1789100865"/>
      </c:valAx>
    </c:plotArea>
    <c:legend>
      <c:legendPos val="b"/>
      <c:overlay val="0"/>
      <c:txPr>
        <a:bodyPr/>
        <a:lstStyle/>
        <a:p>
          <a:pPr lvl="0">
            <a:defRPr b="0">
              <a:solidFill>
                <a:srgbClr val="1A1A1A"/>
              </a:solidFill>
              <a:latin typeface="+mn-lt"/>
            </a:defRPr>
          </a:pPr>
        </a:p>
      </c:txPr>
    </c:legend>
    <c:plotVisOnly val="1"/>
  </c:chart>
</c:chartSpace>
</file>

<file path=xl/charts/chart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a:solidFill>
                  <a:srgbClr val="757575"/>
                </a:solidFill>
                <a:latin typeface="+mn-lt"/>
              </a:defRPr>
            </a:pPr>
            <a:r>
              <a:rPr b="0">
                <a:solidFill>
                  <a:srgbClr val="757575"/>
                </a:solidFill>
                <a:latin typeface="+mn-lt"/>
              </a:rPr>
              <a:t>Ending ARR by month ($): target line, plan of record and forecast</a:t>
            </a:r>
          </a:p>
        </c:rich>
      </c:tx>
      <c:overlay val="0"/>
    </c:title>
    <c:plotArea>
      <c:layout/>
      <c:lineChart>
        <c:ser>
          <c:idx val="0"/>
          <c:order val="0"/>
          <c:tx>
            <c:strRef>
              <c:f>ARR!$A$29</c:f>
            </c:strRef>
          </c:tx>
          <c:spPr>
            <a:ln cmpd="sng" w="19050">
              <a:solidFill>
                <a:srgbClr val="4F81BD"/>
              </a:solidFill>
              <a:prstDash val="sysDot"/>
            </a:ln>
          </c:spPr>
          <c:marker>
            <c:symbol val="none"/>
          </c:marker>
          <c:cat>
            <c:strRef>
              <c:f>ARR!$B$2:$Y$2</c:f>
            </c:strRef>
          </c:cat>
          <c:val>
            <c:numRef>
              <c:f>ARR!$B$29:$Y$29</c:f>
              <c:numCache/>
            </c:numRef>
          </c:val>
          <c:smooth val="0"/>
        </c:ser>
        <c:ser>
          <c:idx val="1"/>
          <c:order val="1"/>
          <c:tx>
            <c:strRef>
              <c:f>ARR!$A$30</c:f>
            </c:strRef>
          </c:tx>
          <c:spPr>
            <a:ln cmpd="sng">
              <a:solidFill>
                <a:srgbClr val="C0504D"/>
              </a:solidFill>
            </a:ln>
          </c:spPr>
          <c:marker>
            <c:symbol val="none"/>
          </c:marker>
          <c:cat>
            <c:strRef>
              <c:f>ARR!$B$2:$Y$2</c:f>
            </c:strRef>
          </c:cat>
          <c:val>
            <c:numRef>
              <c:f>ARR!$B$30:$Y$30</c:f>
              <c:numCache/>
            </c:numRef>
          </c:val>
          <c:smooth val="0"/>
        </c:ser>
        <c:ser>
          <c:idx val="2"/>
          <c:order val="2"/>
          <c:tx>
            <c:strRef>
              <c:f>ARR!$A$31</c:f>
            </c:strRef>
          </c:tx>
          <c:spPr>
            <a:ln cmpd="sng" w="19050">
              <a:solidFill>
                <a:srgbClr val="9BBB59"/>
              </a:solidFill>
              <a:prstDash val="dash"/>
            </a:ln>
          </c:spPr>
          <c:marker>
            <c:symbol val="none"/>
          </c:marker>
          <c:cat>
            <c:strRef>
              <c:f>ARR!$B$2:$Y$2</c:f>
            </c:strRef>
          </c:cat>
          <c:val>
            <c:numRef>
              <c:f>ARR!$B$31:$Y$31</c:f>
              <c:numCache/>
            </c:numRef>
          </c:val>
          <c:smooth val="0"/>
        </c:ser>
        <c:axId val="1502600036"/>
        <c:axId val="1053406615"/>
      </c:lineChart>
      <c:catAx>
        <c:axId val="150260003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Month</a:t>
                </a:r>
              </a:p>
            </c:rich>
          </c:tx>
          <c:overlay val="0"/>
        </c:title>
        <c:numFmt formatCode="General" sourceLinked="1"/>
        <c:majorTickMark val="none"/>
        <c:minorTickMark val="none"/>
        <c:spPr>
          <a:ln>
            <a:noFill/>
          </a:ln>
        </c:spPr>
        <c:txPr>
          <a:bodyPr/>
          <a:lstStyle/>
          <a:p>
            <a:pPr lvl="0">
              <a:defRPr b="0">
                <a:solidFill>
                  <a:srgbClr val="000000"/>
                </a:solidFill>
                <a:latin typeface="+mn-lt"/>
              </a:defRPr>
            </a:pPr>
          </a:p>
        </c:txPr>
        <c:crossAx val="1053406615"/>
      </c:catAx>
      <c:valAx>
        <c:axId val="1053406615"/>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Ending ARR ($)</a:t>
                </a:r>
              </a:p>
            </c:rich>
          </c:tx>
          <c:overlay val="0"/>
        </c:title>
        <c:numFmt formatCode="General" sourceLinked="1"/>
        <c:majorTickMark val="none"/>
        <c:minorTickMark val="none"/>
        <c:tickLblPos val="nextTo"/>
        <c:spPr>
          <a:ln>
            <a:noFill/>
          </a:ln>
        </c:spPr>
        <c:txPr>
          <a:bodyPr/>
          <a:lstStyle/>
          <a:p>
            <a:pPr lvl="0">
              <a:defRPr b="0">
                <a:solidFill>
                  <a:srgbClr val="000000"/>
                </a:solidFill>
                <a:latin typeface="+mn-lt"/>
              </a:defRPr>
            </a:pPr>
          </a:p>
        </c:txPr>
        <c:crossAx val="1502600036"/>
      </c:valAx>
    </c:plotArea>
    <c:legend>
      <c:legendPos val="b"/>
      <c:overlay val="0"/>
      <c:txPr>
        <a:bodyPr/>
        <a:lstStyle/>
        <a:p>
          <a:pPr lvl="0">
            <a:defRPr b="0">
              <a:solidFill>
                <a:srgbClr val="1A1A1A"/>
              </a:solidFill>
              <a:latin typeface="+mn-lt"/>
            </a:defRPr>
          </a:pPr>
        </a:p>
      </c:txPr>
    </c:legend>
    <c:plotVisOnly val="1"/>
  </c:chart>
</c:chartSpace>
</file>

<file path=xl/charts/chart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a:solidFill>
                  <a:srgbClr val="757575"/>
                </a:solidFill>
                <a:latin typeface="+mn-lt"/>
              </a:defRPr>
            </a:pPr>
            <a:r>
              <a:rPr b="0">
                <a:solidFill>
                  <a:srgbClr val="757575"/>
                </a:solidFill>
                <a:latin typeface="+mn-lt"/>
              </a:rPr>
              <a:t>Quarterly new ARR forecast by segment ($)</a:t>
            </a:r>
          </a:p>
        </c:rich>
      </c:tx>
      <c:overlay val="0"/>
    </c:title>
    <c:plotArea>
      <c:layout/>
      <c:barChart>
        <c:barDir val="col"/>
        <c:grouping val="stacked"/>
        <c:ser>
          <c:idx val="0"/>
          <c:order val="0"/>
          <c:tx>
            <c:strRef>
              <c:f>ARR!$A$33</c:f>
            </c:strRef>
          </c:tx>
          <c:spPr>
            <a:solidFill>
              <a:schemeClr val="accent1"/>
            </a:solidFill>
            <a:ln cmpd="sng">
              <a:noFill/>
            </a:ln>
          </c:spPr>
          <c:invertIfNegative val="0"/>
          <c:cat>
            <c:strRef>
              <c:f>ARR!$B$32:$I$32</c:f>
            </c:strRef>
          </c:cat>
          <c:val>
            <c:numRef>
              <c:f>ARR!$B$33:$I$33</c:f>
              <c:numCache/>
            </c:numRef>
          </c:val>
        </c:ser>
        <c:ser>
          <c:idx val="1"/>
          <c:order val="1"/>
          <c:tx>
            <c:strRef>
              <c:f>ARR!$A$34</c:f>
            </c:strRef>
          </c:tx>
          <c:spPr>
            <a:solidFill>
              <a:schemeClr val="accent2"/>
            </a:solidFill>
            <a:ln cmpd="sng">
              <a:noFill/>
            </a:ln>
          </c:spPr>
          <c:invertIfNegative val="0"/>
          <c:cat>
            <c:strRef>
              <c:f>ARR!$B$32:$I$32</c:f>
            </c:strRef>
          </c:cat>
          <c:val>
            <c:numRef>
              <c:f>ARR!$B$34:$I$34</c:f>
              <c:numCache/>
            </c:numRef>
          </c:val>
        </c:ser>
        <c:ser>
          <c:idx val="2"/>
          <c:order val="2"/>
          <c:tx>
            <c:strRef>
              <c:f>ARR!$A$35</c:f>
            </c:strRef>
          </c:tx>
          <c:spPr>
            <a:solidFill>
              <a:schemeClr val="accent3"/>
            </a:solidFill>
            <a:ln cmpd="sng">
              <a:noFill/>
            </a:ln>
          </c:spPr>
          <c:invertIfNegative val="0"/>
          <c:cat>
            <c:strRef>
              <c:f>ARR!$B$32:$I$32</c:f>
            </c:strRef>
          </c:cat>
          <c:val>
            <c:numRef>
              <c:f>ARR!$B$35:$I$35</c:f>
              <c:numCache/>
            </c:numRef>
          </c:val>
        </c:ser>
        <c:overlap val="100"/>
        <c:axId val="64078865"/>
        <c:axId val="1477113915"/>
      </c:barChart>
      <c:catAx>
        <c:axId val="6407886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Quarter</a:t>
                </a:r>
              </a:p>
            </c:rich>
          </c:tx>
          <c:overlay val="0"/>
        </c:title>
        <c:numFmt formatCode="General" sourceLinked="1"/>
        <c:majorTickMark val="none"/>
        <c:minorTickMark val="none"/>
        <c:spPr>
          <a:ln>
            <a:noFill/>
          </a:ln>
        </c:spPr>
        <c:txPr>
          <a:bodyPr/>
          <a:lstStyle/>
          <a:p>
            <a:pPr lvl="0">
              <a:defRPr b="0">
                <a:solidFill>
                  <a:srgbClr val="000000"/>
                </a:solidFill>
                <a:latin typeface="+mn-lt"/>
              </a:defRPr>
            </a:pPr>
          </a:p>
        </c:txPr>
        <c:crossAx val="1477113915"/>
      </c:catAx>
      <c:valAx>
        <c:axId val="1477113915"/>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New ARR ($)</a:t>
                </a:r>
              </a:p>
            </c:rich>
          </c:tx>
          <c:overlay val="0"/>
        </c:title>
        <c:numFmt formatCode="General" sourceLinked="1"/>
        <c:majorTickMark val="none"/>
        <c:minorTickMark val="none"/>
        <c:tickLblPos val="nextTo"/>
        <c:spPr>
          <a:ln>
            <a:noFill/>
          </a:ln>
        </c:spPr>
        <c:txPr>
          <a:bodyPr/>
          <a:lstStyle/>
          <a:p>
            <a:pPr lvl="0">
              <a:defRPr b="0">
                <a:solidFill>
                  <a:srgbClr val="000000"/>
                </a:solidFill>
                <a:latin typeface="+mn-lt"/>
              </a:defRPr>
            </a:pPr>
          </a:p>
        </c:txPr>
        <c:crossAx val="64078865"/>
      </c:valAx>
    </c:plotArea>
    <c:legend>
      <c:legendPos val="b"/>
      <c:overlay val="0"/>
      <c:txPr>
        <a:bodyPr/>
        <a:lstStyle/>
        <a:p>
          <a:pPr lvl="0">
            <a:defRPr b="0">
              <a:solidFill>
                <a:srgbClr val="1A1A1A"/>
              </a:solidFill>
              <a:latin typeface="+mn-lt"/>
            </a:defRPr>
          </a:pPr>
        </a:p>
      </c:txPr>
    </c:legend>
    <c:plotVisOnly val="1"/>
  </c:chart>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_rels/drawing7.xml.rels><?xml version="1.0" encoding="UTF-8" standalone="yes"?><Relationships xmlns="http://schemas.openxmlformats.org/package/2006/relationships"><Relationship Id="rId1" Type="http://schemas.openxmlformats.org/officeDocument/2006/relationships/chart" Target="../charts/chart3.xml"/><Relationship Id="rId2"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28</xdr:row>
      <xdr:rowOff>0</xdr:rowOff>
    </xdr:from>
    <xdr:ext cx="6096000" cy="3238500"/>
    <xdr:graphicFrame>
      <xdr:nvGraphicFramePr>
        <xdr:cNvPr id="1" name="Chart 1" title="Ending ARR by month ($): target line, plan of record and forecast"/>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1</xdr:col>
      <xdr:colOff>0</xdr:colOff>
      <xdr:row>28</xdr:row>
      <xdr:rowOff>0</xdr:rowOff>
    </xdr:from>
    <xdr:ext cx="5334000" cy="3238500"/>
    <xdr:graphicFrame>
      <xdr:nvGraphicFramePr>
        <xdr:cNvPr id="2" name="Chart 2" title="Quarterly new ARR forecast by segment ($)"/>
        <xdr:cNvGraphicFramePr/>
      </xdr:nvGraphicFramePr>
      <xdr:xfrm>
        <a:off x="0" y="0"/>
        <a:ext cx="0" cy="0"/>
      </xdr:xfrm>
      <a:graphic>
        <a:graphicData uri="http://schemas.openxmlformats.org/drawingml/2006/chart">
          <c:chart r:id="rId2"/>
        </a:graphicData>
      </a:graphic>
    </xdr:graphicFrame>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7</xdr:col>
      <xdr:colOff>0</xdr:colOff>
      <xdr:row>4</xdr:row>
      <xdr:rowOff>0</xdr:rowOff>
    </xdr:from>
    <xdr:ext cx="6858000" cy="3429000"/>
    <xdr:graphicFrame>
      <xdr:nvGraphicFramePr>
        <xdr:cNvPr id="3" name="Chart 3" title="Ending ARR by month ($): target line, plan of record and forecast"/>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15</xdr:col>
      <xdr:colOff>0</xdr:colOff>
      <xdr:row>4</xdr:row>
      <xdr:rowOff>0</xdr:rowOff>
    </xdr:from>
    <xdr:ext cx="6858000" cy="3429000"/>
    <xdr:graphicFrame>
      <xdr:nvGraphicFramePr>
        <xdr:cNvPr id="4" name="Chart 4" title="Quarterly new ARR forecast by segment ($)"/>
        <xdr:cNvGraphicFramePr/>
      </xdr:nvGraphicFramePr>
      <xdr:xfrm>
        <a:off x="0" y="0"/>
        <a:ext cx="0" cy="0"/>
      </xdr:xfrm>
      <a:graphic>
        <a:graphicData uri="http://schemas.openxmlformats.org/drawingml/2006/chart">
          <c:chart r:id="rId2"/>
        </a:graphicData>
      </a:graphic>
    </xdr:graphicFrame>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1" max="1" width="91.57"/>
    <col customWidth="1" min="2" max="5" width="20.14"/>
  </cols>
  <sheetData>
    <row r="1">
      <c r="A1" s="1" t="s">
        <v>0</v>
      </c>
    </row>
    <row r="2">
      <c r="A2" s="2" t="s">
        <v>1</v>
      </c>
    </row>
    <row r="3">
      <c r="A3" s="3"/>
      <c r="B3" s="3"/>
      <c r="C3" s="3"/>
      <c r="D3" s="3"/>
      <c r="E3" s="3"/>
    </row>
    <row r="4">
      <c r="A4" s="4" t="s">
        <v>2</v>
      </c>
      <c r="B4" s="5" t="s">
        <v>3</v>
      </c>
      <c r="C4" s="5" t="s">
        <v>4</v>
      </c>
      <c r="D4" s="5" t="s">
        <v>5</v>
      </c>
      <c r="E4" s="5" t="s">
        <v>6</v>
      </c>
    </row>
    <row r="5">
      <c r="A5" s="6" t="s">
        <v>7</v>
      </c>
      <c r="B5" s="7">
        <f>ARR!$B$6</f>
        <v>6000000</v>
      </c>
      <c r="C5" s="7">
        <f>ARR!$C$6</f>
        <v>6586373.437</v>
      </c>
      <c r="D5" s="7">
        <f>ARR!$D$6</f>
        <v>6586373.437</v>
      </c>
      <c r="E5" s="7">
        <f>ARR!$E$6</f>
        <v>586373.4369</v>
      </c>
    </row>
    <row r="6">
      <c r="A6" s="6" t="s">
        <v>8</v>
      </c>
      <c r="B6" s="7">
        <f>ARR!$B$7</f>
        <v>8000000</v>
      </c>
      <c r="C6" s="7">
        <f>ARR!$C$7</f>
        <v>8340969.953</v>
      </c>
      <c r="D6" s="7">
        <f>ARR!$D$7</f>
        <v>8340969.953</v>
      </c>
      <c r="E6" s="7">
        <f>ARR!$E$7</f>
        <v>340969.9534</v>
      </c>
    </row>
    <row r="7">
      <c r="A7" s="6" t="s">
        <v>9</v>
      </c>
      <c r="B7" s="7">
        <f>ARR!$B$8</f>
        <v>15000000</v>
      </c>
      <c r="C7" s="7">
        <f>ARR!$C$8</f>
        <v>15586373.44</v>
      </c>
      <c r="D7" s="7">
        <f>ARR!$D$8</f>
        <v>15586373.44</v>
      </c>
      <c r="E7" s="7">
        <f>ARR!$E$8</f>
        <v>586373.4369</v>
      </c>
    </row>
    <row r="8">
      <c r="A8" s="6" t="s">
        <v>10</v>
      </c>
      <c r="B8" s="7">
        <f>ARR!$B$9</f>
        <v>23000000</v>
      </c>
      <c r="C8" s="7">
        <f>ARR!$C$9</f>
        <v>23927343.39</v>
      </c>
      <c r="D8" s="7">
        <f>ARR!$D$9</f>
        <v>23927343.39</v>
      </c>
      <c r="E8" s="7">
        <f>ARR!$E$9</f>
        <v>927343.3903</v>
      </c>
    </row>
    <row r="9">
      <c r="A9" s="3"/>
      <c r="B9" s="3"/>
      <c r="C9" s="3"/>
      <c r="D9" s="3"/>
      <c r="E9" s="3"/>
    </row>
    <row r="10">
      <c r="A10" s="4" t="s">
        <v>11</v>
      </c>
      <c r="B10" s="8"/>
      <c r="C10" s="8"/>
      <c r="D10" s="8"/>
      <c r="E10" s="8"/>
    </row>
    <row r="11">
      <c r="A11" s="6" t="s">
        <v>12</v>
      </c>
      <c r="B11" s="3"/>
      <c r="C11" s="3"/>
      <c r="D11" s="3"/>
      <c r="E11" s="3"/>
    </row>
    <row r="12">
      <c r="A12" s="6" t="s">
        <v>13</v>
      </c>
      <c r="B12" s="3"/>
      <c r="C12" s="3"/>
      <c r="D12" s="3"/>
      <c r="E12" s="3"/>
    </row>
    <row r="13">
      <c r="A13" s="3"/>
      <c r="B13" s="3"/>
      <c r="C13" s="3"/>
      <c r="D13" s="3"/>
      <c r="E13" s="3"/>
    </row>
    <row r="14">
      <c r="A14" s="4" t="s">
        <v>14</v>
      </c>
      <c r="B14" s="5" t="s">
        <v>15</v>
      </c>
      <c r="C14" s="5" t="s">
        <v>16</v>
      </c>
      <c r="D14" s="5" t="s">
        <v>17</v>
      </c>
      <c r="E14" s="5" t="s">
        <v>18</v>
      </c>
    </row>
    <row r="15">
      <c r="A15" s="6" t="s">
        <v>19</v>
      </c>
      <c r="B15" s="9">
        <f>Inputs!$B$59</f>
        <v>6</v>
      </c>
      <c r="C15" s="9">
        <f>Inputs!$B$60</f>
        <v>0</v>
      </c>
      <c r="D15" s="9">
        <f>Inputs!$B$61</f>
        <v>2</v>
      </c>
      <c r="E15" s="9">
        <f t="shared" ref="E15:E20" si="1">SUM(B15:D15)</f>
        <v>8</v>
      </c>
    </row>
    <row r="16">
      <c r="A16" s="6" t="s">
        <v>20</v>
      </c>
      <c r="B16" s="9">
        <f>Inputs!$C$59</f>
        <v>2</v>
      </c>
      <c r="C16" s="9">
        <f>Inputs!$C$60</f>
        <v>3</v>
      </c>
      <c r="D16" s="9">
        <f>Inputs!$C$61</f>
        <v>0</v>
      </c>
      <c r="E16" s="9">
        <f t="shared" si="1"/>
        <v>5</v>
      </c>
    </row>
    <row r="17">
      <c r="A17" s="6" t="s">
        <v>21</v>
      </c>
      <c r="B17" s="7">
        <f>'Hiring plan'!$B$10</f>
        <v>178072.4721</v>
      </c>
      <c r="C17" s="7">
        <f>'Hiring plan'!$B$27</f>
        <v>179550.7477</v>
      </c>
      <c r="D17" s="7">
        <f>'Hiring plan'!$B$44</f>
        <v>228750.2171</v>
      </c>
      <c r="E17" s="7">
        <f t="shared" si="1"/>
        <v>586373.4369</v>
      </c>
    </row>
    <row r="18">
      <c r="A18" s="6" t="s">
        <v>22</v>
      </c>
      <c r="B18" s="7">
        <f>'Hiring plan'!$C$10</f>
        <v>44618.08446</v>
      </c>
      <c r="C18" s="7">
        <f>'Hiring plan'!$C$27</f>
        <v>238168.8133</v>
      </c>
      <c r="D18" s="7">
        <f>'Hiring plan'!$C$44</f>
        <v>644556.4925</v>
      </c>
      <c r="E18" s="7">
        <f t="shared" si="1"/>
        <v>927343.3903</v>
      </c>
    </row>
    <row r="19">
      <c r="A19" s="6" t="s">
        <v>23</v>
      </c>
      <c r="B19" s="7">
        <f>Inputs!$M$25</f>
        <v>178072.4721</v>
      </c>
      <c r="C19" s="7">
        <f>Inputs!$O$25</f>
        <v>179550.7477</v>
      </c>
      <c r="D19" s="7">
        <f>Inputs!$Q$25</f>
        <v>228750.2171</v>
      </c>
      <c r="E19" s="7">
        <f t="shared" si="1"/>
        <v>586373.4369</v>
      </c>
    </row>
    <row r="20">
      <c r="A20" s="6" t="s">
        <v>24</v>
      </c>
      <c r="B20" s="7">
        <f>Inputs!$M$26</f>
        <v>44618.08446</v>
      </c>
      <c r="C20" s="7">
        <f>Inputs!$O$26</f>
        <v>238168.8133</v>
      </c>
      <c r="D20" s="7">
        <f>Inputs!$Q$26</f>
        <v>644556.4925</v>
      </c>
      <c r="E20" s="7">
        <f t="shared" si="1"/>
        <v>927343.3903</v>
      </c>
    </row>
    <row r="21">
      <c r="A21" s="3"/>
      <c r="B21" s="3"/>
      <c r="C21" s="3"/>
      <c r="D21" s="3"/>
      <c r="E21" s="3"/>
    </row>
    <row r="22">
      <c r="A22" s="4" t="s">
        <v>25</v>
      </c>
      <c r="B22" s="5" t="s">
        <v>26</v>
      </c>
      <c r="C22" s="5" t="s">
        <v>27</v>
      </c>
      <c r="D22" s="5" t="s">
        <v>28</v>
      </c>
      <c r="E22" s="5" t="s">
        <v>29</v>
      </c>
    </row>
    <row r="23">
      <c r="A23" s="6" t="s">
        <v>30</v>
      </c>
      <c r="B23" s="7">
        <f>Cost!$B$6</f>
        <v>8345583.993</v>
      </c>
      <c r="C23" s="7">
        <f>Cost!$C$6</f>
        <v>8345583.993</v>
      </c>
      <c r="D23" s="7">
        <f>Cost!$D$6</f>
        <v>9400622.225</v>
      </c>
      <c r="E23" s="7">
        <f>Cost!$E$6</f>
        <v>9400622.225</v>
      </c>
    </row>
    <row r="24">
      <c r="A24" s="6" t="s">
        <v>31</v>
      </c>
      <c r="B24" s="10">
        <f>Cost!$B$9</f>
        <v>0.7892046191</v>
      </c>
      <c r="C24" s="10">
        <f>Cost!$C$9</f>
        <v>0.7892046191</v>
      </c>
      <c r="D24" s="10">
        <f>Cost!$D$9</f>
        <v>0.8872784965</v>
      </c>
      <c r="E24" s="10">
        <f>Cost!$E$9</f>
        <v>0.8872784965</v>
      </c>
    </row>
    <row r="25">
      <c r="A25" s="6" t="s">
        <v>32</v>
      </c>
      <c r="B25" s="7">
        <f>Cost!$B$7</f>
        <v>6308339.311</v>
      </c>
      <c r="C25" s="7">
        <f>Cost!$C$7</f>
        <v>6308339.311</v>
      </c>
      <c r="D25" s="7">
        <f>Cost!$D$7</f>
        <v>7884706.969</v>
      </c>
      <c r="E25" s="7">
        <f>Cost!$E$7</f>
        <v>7884706.969</v>
      </c>
    </row>
    <row r="26">
      <c r="A26" s="3" t="str">
        <f>"New-logo CAC payback (months) = spend / (new-logo ARR x "&amp;TEXT(Inputs!$B$53,"0%")&amp;" gross margin) x 12"</f>
        <v>New-logo CAC payback (months) = spend / (new-logo ARR x 75% gross margin) x 12</v>
      </c>
      <c r="B26" s="11">
        <f>Cost!$B$10</f>
        <v>21.16711504</v>
      </c>
      <c r="C26" s="11">
        <f>Cost!$C$10</f>
        <v>21.16711504</v>
      </c>
      <c r="D26" s="11">
        <f>Cost!$D$10</f>
        <v>19.07616303</v>
      </c>
      <c r="E26" s="11">
        <f>Cost!$E$10</f>
        <v>19.07616303</v>
      </c>
    </row>
    <row r="27">
      <c r="A27" s="3"/>
      <c r="B27" s="3"/>
      <c r="C27" s="3"/>
      <c r="D27" s="3"/>
      <c r="E27" s="3"/>
    </row>
    <row r="28">
      <c r="A28" s="4" t="s">
        <v>33</v>
      </c>
      <c r="B28" s="8"/>
      <c r="C28" s="8"/>
      <c r="D28" s="8"/>
      <c r="E28" s="8"/>
    </row>
    <row r="29">
      <c r="A29" s="3"/>
      <c r="B29" s="3"/>
      <c r="C29" s="3"/>
      <c r="D29" s="3"/>
      <c r="E29" s="3"/>
    </row>
    <row r="30">
      <c r="A30" s="3"/>
      <c r="B30" s="3"/>
      <c r="C30" s="3"/>
      <c r="D30" s="3"/>
      <c r="E30" s="3"/>
    </row>
    <row r="31">
      <c r="A31" s="3"/>
      <c r="B31" s="3"/>
      <c r="C31" s="3"/>
      <c r="D31" s="3"/>
      <c r="E31" s="3"/>
    </row>
    <row r="32">
      <c r="A32" s="3"/>
      <c r="B32" s="3"/>
      <c r="C32" s="3"/>
      <c r="D32" s="3"/>
      <c r="E32" s="3"/>
    </row>
    <row r="33">
      <c r="A33" s="3"/>
      <c r="B33" s="3"/>
      <c r="C33" s="3"/>
      <c r="D33" s="3"/>
      <c r="E33" s="3"/>
    </row>
    <row r="34">
      <c r="A34" s="3"/>
      <c r="B34" s="3"/>
      <c r="C34" s="3"/>
      <c r="D34" s="3"/>
      <c r="E34" s="3"/>
    </row>
    <row r="35">
      <c r="A35" s="3"/>
      <c r="B35" s="3"/>
      <c r="C35" s="3"/>
      <c r="D35" s="3"/>
      <c r="E35" s="3"/>
    </row>
    <row r="36">
      <c r="A36" s="3"/>
      <c r="B36" s="3"/>
      <c r="C36" s="3"/>
      <c r="D36" s="3"/>
      <c r="E36" s="3"/>
    </row>
    <row r="37">
      <c r="A37" s="3"/>
      <c r="B37" s="3"/>
      <c r="C37" s="3"/>
      <c r="D37" s="3"/>
      <c r="E37" s="3"/>
    </row>
    <row r="38">
      <c r="A38" s="3"/>
      <c r="B38" s="3"/>
      <c r="C38" s="3"/>
      <c r="D38" s="3"/>
      <c r="E38" s="3"/>
    </row>
    <row r="39">
      <c r="A39" s="3"/>
      <c r="B39" s="3"/>
      <c r="C39" s="3"/>
      <c r="D39" s="3"/>
      <c r="E39" s="3"/>
    </row>
    <row r="40">
      <c r="A40" s="3"/>
      <c r="B40" s="3"/>
      <c r="C40" s="3"/>
      <c r="D40" s="3"/>
      <c r="E40" s="3"/>
    </row>
    <row r="41">
      <c r="A41" s="3"/>
      <c r="B41" s="3"/>
      <c r="C41" s="3"/>
      <c r="D41" s="3"/>
      <c r="E41" s="3"/>
    </row>
    <row r="42">
      <c r="A42" s="3"/>
      <c r="B42" s="3"/>
      <c r="C42" s="3"/>
      <c r="D42" s="3"/>
      <c r="E42" s="3"/>
    </row>
    <row r="43">
      <c r="A43" s="3"/>
      <c r="B43" s="3"/>
      <c r="C43" s="3"/>
      <c r="D43" s="3"/>
      <c r="E43" s="3"/>
    </row>
    <row r="44">
      <c r="A44" s="3"/>
      <c r="B44" s="3"/>
      <c r="C44" s="3"/>
      <c r="D44" s="3"/>
      <c r="E44" s="3"/>
    </row>
    <row r="45">
      <c r="A45" s="3"/>
      <c r="B45" s="3"/>
      <c r="C45" s="3"/>
      <c r="D45" s="3"/>
      <c r="E45" s="3"/>
    </row>
    <row r="46">
      <c r="A46" s="3"/>
      <c r="B46" s="3"/>
      <c r="C46" s="3"/>
      <c r="D46" s="3"/>
      <c r="E46" s="3"/>
    </row>
    <row r="47">
      <c r="A47" s="4" t="s">
        <v>34</v>
      </c>
      <c r="B47" s="8"/>
      <c r="C47" s="8"/>
      <c r="D47" s="8"/>
      <c r="E47" s="8"/>
    </row>
    <row r="48">
      <c r="A48" s="6" t="s">
        <v>35</v>
      </c>
      <c r="B48" s="3"/>
      <c r="C48" s="3"/>
      <c r="D48" s="3"/>
      <c r="E48" s="3"/>
    </row>
    <row r="49">
      <c r="A49" s="6" t="s">
        <v>36</v>
      </c>
      <c r="B49" s="3"/>
      <c r="C49" s="3"/>
      <c r="D49" s="3"/>
      <c r="E49" s="3"/>
    </row>
    <row r="50">
      <c r="A50" s="6" t="s">
        <v>37</v>
      </c>
      <c r="B50" s="3"/>
      <c r="C50" s="3"/>
      <c r="D50" s="3"/>
      <c r="E50" s="3"/>
    </row>
    <row r="51">
      <c r="A51" s="6" t="s">
        <v>38</v>
      </c>
      <c r="B51" s="3"/>
      <c r="C51" s="3"/>
      <c r="D51" s="3"/>
      <c r="E51" s="3"/>
    </row>
    <row r="52">
      <c r="A52" s="6" t="s">
        <v>39</v>
      </c>
      <c r="B52" s="3"/>
      <c r="C52" s="3"/>
      <c r="D52" s="3"/>
      <c r="E52" s="3"/>
    </row>
    <row r="53">
      <c r="A53" s="3"/>
      <c r="B53" s="3"/>
      <c r="C53" s="3"/>
      <c r="D53" s="3"/>
      <c r="E53" s="3"/>
    </row>
    <row r="54">
      <c r="A54" s="4" t="s">
        <v>40</v>
      </c>
      <c r="B54" s="8"/>
      <c r="C54" s="8"/>
      <c r="D54" s="8"/>
      <c r="E54" s="8"/>
    </row>
    <row r="55">
      <c r="A55" s="6" t="s">
        <v>41</v>
      </c>
      <c r="B55" s="3"/>
      <c r="C55" s="3"/>
      <c r="D55" s="3"/>
      <c r="E55" s="3"/>
    </row>
    <row r="56">
      <c r="A56" s="6" t="s">
        <v>42</v>
      </c>
      <c r="B56" s="3"/>
      <c r="C56" s="3"/>
      <c r="D56" s="3"/>
      <c r="E56" s="3"/>
    </row>
    <row r="57">
      <c r="A57" s="6" t="s">
        <v>43</v>
      </c>
      <c r="B57" s="3"/>
      <c r="C57" s="3"/>
      <c r="D57" s="3"/>
      <c r="E57" s="3"/>
    </row>
    <row r="58">
      <c r="A58" s="6" t="s">
        <v>44</v>
      </c>
      <c r="B58" s="3"/>
      <c r="C58" s="3"/>
      <c r="D58" s="3"/>
      <c r="E58" s="3"/>
    </row>
    <row r="59">
      <c r="A59" s="6" t="s">
        <v>45</v>
      </c>
      <c r="B59" s="3"/>
      <c r="C59" s="3"/>
      <c r="D59" s="3"/>
      <c r="E59" s="3"/>
    </row>
    <row r="60">
      <c r="A60" s="6" t="s">
        <v>46</v>
      </c>
      <c r="B60" s="3"/>
      <c r="C60" s="3"/>
      <c r="D60" s="3"/>
      <c r="E60" s="3"/>
    </row>
    <row r="61">
      <c r="A61" s="3"/>
      <c r="B61" s="3"/>
      <c r="C61" s="3"/>
      <c r="D61" s="3"/>
      <c r="E61" s="3"/>
    </row>
    <row r="62">
      <c r="A62" s="4" t="s">
        <v>47</v>
      </c>
      <c r="B62" s="8"/>
      <c r="C62" s="8"/>
      <c r="D62" s="8"/>
      <c r="E62" s="8"/>
    </row>
    <row r="63">
      <c r="A63" s="6" t="s">
        <v>48</v>
      </c>
      <c r="B63" s="3"/>
      <c r="C63" s="3"/>
      <c r="D63" s="3"/>
      <c r="E63" s="3"/>
    </row>
    <row r="64">
      <c r="A64" s="6" t="s">
        <v>49</v>
      </c>
      <c r="B64" s="3"/>
      <c r="C64" s="3"/>
      <c r="D64" s="3"/>
      <c r="E64" s="3"/>
    </row>
    <row r="65">
      <c r="A65" s="6" t="s">
        <v>50</v>
      </c>
      <c r="B65" s="3"/>
      <c r="C65" s="3"/>
      <c r="D65" s="3"/>
      <c r="E65" s="3"/>
    </row>
    <row r="66">
      <c r="A66" s="6" t="s">
        <v>51</v>
      </c>
      <c r="B66" s="3"/>
      <c r="C66" s="3"/>
      <c r="D66" s="3"/>
      <c r="E66" s="3"/>
    </row>
    <row r="67">
      <c r="A67" s="6" t="s">
        <v>52</v>
      </c>
      <c r="B67" s="3"/>
      <c r="C67" s="3"/>
      <c r="D67" s="3"/>
      <c r="E67" s="3"/>
    </row>
    <row r="68">
      <c r="A68" s="6" t="s">
        <v>53</v>
      </c>
      <c r="B68" s="3"/>
      <c r="C68" s="3"/>
      <c r="D68" s="3"/>
      <c r="E68" s="3"/>
    </row>
    <row r="69">
      <c r="A69" s="6" t="s">
        <v>54</v>
      </c>
      <c r="B69" s="3"/>
      <c r="C69" s="3"/>
      <c r="D69" s="3"/>
      <c r="E69" s="3"/>
    </row>
    <row r="70">
      <c r="A70" s="6" t="s">
        <v>55</v>
      </c>
      <c r="B70" s="3"/>
      <c r="C70" s="3"/>
      <c r="D70" s="3"/>
      <c r="E70" s="3"/>
    </row>
    <row r="71">
      <c r="A71" s="6" t="s">
        <v>56</v>
      </c>
      <c r="B71" s="3"/>
      <c r="C71" s="3"/>
      <c r="D71" s="3"/>
      <c r="E71" s="3"/>
    </row>
    <row r="72">
      <c r="A72" s="3"/>
      <c r="B72" s="3"/>
      <c r="C72" s="3"/>
      <c r="D72" s="3"/>
      <c r="E72" s="3"/>
    </row>
    <row r="73">
      <c r="A73" s="4" t="s">
        <v>57</v>
      </c>
      <c r="B73" s="4" t="s">
        <v>58</v>
      </c>
      <c r="C73" s="4" t="s">
        <v>59</v>
      </c>
    </row>
    <row r="74">
      <c r="A74" s="12" t="s">
        <v>60</v>
      </c>
      <c r="B74" s="6" t="s">
        <v>61</v>
      </c>
      <c r="C74" s="6" t="s">
        <v>62</v>
      </c>
    </row>
    <row r="75">
      <c r="A75" s="12" t="s">
        <v>63</v>
      </c>
      <c r="B75" s="6" t="s">
        <v>64</v>
      </c>
      <c r="C75" s="6" t="s">
        <v>65</v>
      </c>
    </row>
    <row r="76">
      <c r="A76" s="12" t="s">
        <v>66</v>
      </c>
      <c r="B76" s="6" t="s">
        <v>67</v>
      </c>
      <c r="C76" s="6" t="s">
        <v>68</v>
      </c>
    </row>
    <row r="77">
      <c r="A77" s="12" t="s">
        <v>69</v>
      </c>
      <c r="B77" s="6" t="s">
        <v>70</v>
      </c>
      <c r="C77" s="6" t="s">
        <v>71</v>
      </c>
    </row>
    <row r="78">
      <c r="A78" s="12" t="s">
        <v>72</v>
      </c>
      <c r="B78" s="6" t="s">
        <v>73</v>
      </c>
      <c r="C78" s="6" t="s">
        <v>74</v>
      </c>
    </row>
    <row r="79">
      <c r="A79" s="12" t="s">
        <v>75</v>
      </c>
      <c r="B79" s="6" t="s">
        <v>76</v>
      </c>
      <c r="C79" s="6" t="s">
        <v>77</v>
      </c>
    </row>
    <row r="80">
      <c r="A80" s="12" t="s">
        <v>78</v>
      </c>
      <c r="B80" s="6" t="s">
        <v>79</v>
      </c>
      <c r="C80" s="6" t="s">
        <v>80</v>
      </c>
    </row>
    <row r="81">
      <c r="A81" s="12" t="s">
        <v>81</v>
      </c>
      <c r="B81" s="6" t="s">
        <v>82</v>
      </c>
      <c r="C81" s="6" t="s">
        <v>83</v>
      </c>
    </row>
    <row r="82">
      <c r="A82" s="12" t="s">
        <v>84</v>
      </c>
      <c r="B82" s="6" t="s">
        <v>85</v>
      </c>
      <c r="C82" s="6" t="s">
        <v>86</v>
      </c>
    </row>
    <row r="83">
      <c r="A83" s="12" t="s">
        <v>87</v>
      </c>
      <c r="B83" s="6" t="s">
        <v>88</v>
      </c>
      <c r="C83" s="6" t="s">
        <v>89</v>
      </c>
    </row>
    <row r="84">
      <c r="A84" s="12" t="s">
        <v>90</v>
      </c>
      <c r="B84" s="6" t="s">
        <v>73</v>
      </c>
      <c r="C84" s="6" t="s">
        <v>91</v>
      </c>
    </row>
    <row r="85">
      <c r="A85" s="12" t="s">
        <v>92</v>
      </c>
      <c r="B85" s="6" t="s">
        <v>93</v>
      </c>
      <c r="C85" s="6" t="s">
        <v>94</v>
      </c>
    </row>
    <row r="86">
      <c r="A86" s="3"/>
      <c r="B86" s="3"/>
      <c r="C86" s="3"/>
      <c r="D86" s="3"/>
      <c r="E86" s="3"/>
    </row>
    <row r="87">
      <c r="A87" s="4" t="s">
        <v>95</v>
      </c>
      <c r="B87" s="8"/>
      <c r="C87" s="8"/>
      <c r="D87" s="8"/>
      <c r="E87" s="8"/>
    </row>
    <row r="88">
      <c r="A88" s="6" t="s">
        <v>96</v>
      </c>
      <c r="B88" s="3"/>
      <c r="C88" s="3"/>
      <c r="D88" s="3"/>
      <c r="E88" s="3"/>
    </row>
    <row r="89">
      <c r="A89" s="6" t="s">
        <v>97</v>
      </c>
      <c r="B89" s="3"/>
      <c r="C89" s="3"/>
      <c r="D89" s="3"/>
      <c r="E89" s="3"/>
    </row>
    <row r="90">
      <c r="A90" s="6" t="s">
        <v>98</v>
      </c>
      <c r="B90" s="3"/>
      <c r="C90" s="3"/>
      <c r="D90" s="3"/>
      <c r="E90" s="3"/>
    </row>
    <row r="91">
      <c r="A91" s="6" t="s">
        <v>99</v>
      </c>
      <c r="B91" s="3"/>
      <c r="C91" s="3"/>
      <c r="D91" s="3"/>
      <c r="E91" s="3"/>
    </row>
    <row r="92">
      <c r="A92" s="6" t="s">
        <v>100</v>
      </c>
      <c r="B92" s="3"/>
      <c r="C92" s="3"/>
      <c r="D92" s="3"/>
      <c r="E92" s="3"/>
    </row>
    <row r="93">
      <c r="A93" s="3"/>
      <c r="B93" s="3"/>
      <c r="C93" s="3"/>
      <c r="D93" s="3"/>
      <c r="E93" s="3"/>
    </row>
    <row r="94">
      <c r="A94" s="4" t="s">
        <v>101</v>
      </c>
      <c r="B94" s="8"/>
      <c r="C94" s="8"/>
      <c r="D94" s="8"/>
      <c r="E94" s="8"/>
    </row>
    <row r="95">
      <c r="A95" s="6" t="s">
        <v>102</v>
      </c>
      <c r="B95" s="3"/>
      <c r="C95" s="3"/>
      <c r="D95" s="3"/>
      <c r="E95" s="3"/>
    </row>
    <row r="96">
      <c r="A96" s="6" t="s">
        <v>103</v>
      </c>
      <c r="B96" s="3"/>
      <c r="C96" s="3"/>
      <c r="D96" s="3"/>
      <c r="E96" s="3"/>
    </row>
    <row r="97">
      <c r="A97" s="6" t="s">
        <v>104</v>
      </c>
      <c r="B97" s="3"/>
      <c r="C97" s="3"/>
      <c r="D97" s="3"/>
      <c r="E97" s="3"/>
    </row>
    <row r="98">
      <c r="A98" s="6" t="s">
        <v>105</v>
      </c>
      <c r="B98" s="3"/>
      <c r="C98" s="3"/>
      <c r="D98" s="3"/>
      <c r="E98" s="3"/>
    </row>
    <row r="99">
      <c r="A99" s="6" t="s">
        <v>106</v>
      </c>
      <c r="B99" s="3"/>
      <c r="C99" s="3"/>
      <c r="D99" s="3"/>
      <c r="E99" s="3"/>
    </row>
    <row r="100">
      <c r="A100" s="6" t="s">
        <v>107</v>
      </c>
      <c r="B100" s="3"/>
      <c r="C100" s="3"/>
      <c r="D100" s="3"/>
      <c r="E100" s="3"/>
    </row>
    <row r="101">
      <c r="A101" s="6" t="s">
        <v>108</v>
      </c>
      <c r="B101" s="3"/>
      <c r="C101" s="3"/>
      <c r="D101" s="3"/>
      <c r="E101" s="3"/>
    </row>
  </sheetData>
  <mergeCells count="13">
    <mergeCell ref="C81:E81"/>
    <mergeCell ref="C82:E82"/>
    <mergeCell ref="C83:E83"/>
    <mergeCell ref="C84:E84"/>
    <mergeCell ref="C85:E85"/>
    <mergeCell ref="C74:E74"/>
    <mergeCell ref="C75:E75"/>
    <mergeCell ref="C76:E76"/>
    <mergeCell ref="C77:E77"/>
    <mergeCell ref="C78:E78"/>
    <mergeCell ref="C79:E79"/>
    <mergeCell ref="C80:E80"/>
    <mergeCell ref="C73:E73"/>
  </mergeCells>
  <conditionalFormatting sqref="B17:E20">
    <cfRule type="cellIs" dxfId="0" priority="1" stopIfTrue="1" operator="lessThan">
      <formula>-0.5</formula>
    </cfRule>
  </conditionalFormatting>
  <conditionalFormatting sqref="E5:E8">
    <cfRule type="cellIs" dxfId="0" priority="2" stopIfTrue="1" operator="lessThan">
      <formula>-0.5</formula>
    </cfRule>
  </conditionalFormatting>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topLeftCell="B1" activePane="topRight" state="frozen"/>
      <selection activeCell="C2" sqref="C2" pane="topRight"/>
    </sheetView>
  </sheetViews>
  <sheetFormatPr customHeight="1" defaultColWidth="14.43" defaultRowHeight="15.0"/>
  <cols>
    <col customWidth="1" min="1" max="1" width="43.0"/>
    <col customWidth="1" min="2" max="7" width="15.14"/>
    <col customWidth="1" min="8" max="8" width="54.43"/>
    <col customWidth="1" min="9" max="9" width="2.43"/>
    <col customWidth="1" min="10" max="33" width="9.29"/>
  </cols>
  <sheetData>
    <row r="1">
      <c r="A1" s="1" t="s">
        <v>109</v>
      </c>
    </row>
    <row r="2">
      <c r="A2" s="13" t="s">
        <v>110</v>
      </c>
    </row>
    <row r="3">
      <c r="A3" s="13" t="s">
        <v>111</v>
      </c>
    </row>
    <row r="4">
      <c r="A4" s="13" t="s">
        <v>112</v>
      </c>
    </row>
    <row r="5">
      <c r="A5" s="13" t="s">
        <v>113</v>
      </c>
    </row>
    <row r="6">
      <c r="A6" s="3"/>
      <c r="B6" s="3"/>
      <c r="C6" s="3"/>
      <c r="D6" s="3"/>
      <c r="E6" s="3"/>
      <c r="F6" s="3"/>
      <c r="G6" s="3"/>
      <c r="H6" s="3"/>
    </row>
    <row r="7">
      <c r="A7" s="4" t="s">
        <v>114</v>
      </c>
      <c r="B7" s="8"/>
      <c r="C7" s="8"/>
      <c r="D7" s="8"/>
      <c r="E7" s="8"/>
      <c r="F7" s="8"/>
      <c r="G7" s="8"/>
      <c r="H7" s="4" t="s">
        <v>115</v>
      </c>
      <c r="J7" s="4" t="s">
        <v>116</v>
      </c>
      <c r="M7" s="8"/>
      <c r="N7" s="8"/>
      <c r="O7" s="8"/>
      <c r="P7" s="8"/>
      <c r="Q7" s="8"/>
      <c r="R7" s="8"/>
    </row>
    <row r="8">
      <c r="A8" s="6" t="s">
        <v>117</v>
      </c>
      <c r="B8" s="14">
        <v>9000000.0</v>
      </c>
      <c r="C8" s="3"/>
      <c r="D8" s="3"/>
      <c r="E8" s="3"/>
      <c r="F8" s="3"/>
      <c r="G8" s="3"/>
      <c r="H8" s="6" t="s">
        <v>118</v>
      </c>
      <c r="J8" s="3"/>
      <c r="M8" s="15" t="s">
        <v>119</v>
      </c>
      <c r="O8" s="15" t="s">
        <v>120</v>
      </c>
      <c r="Q8" s="16"/>
      <c r="R8" s="16"/>
    </row>
    <row r="9">
      <c r="A9" s="6" t="s">
        <v>121</v>
      </c>
      <c r="B9" s="14">
        <v>6000000.0</v>
      </c>
      <c r="C9" s="3"/>
      <c r="D9" s="3"/>
      <c r="E9" s="3"/>
      <c r="F9" s="3"/>
      <c r="G9" s="3"/>
      <c r="H9" s="6" t="s">
        <v>122</v>
      </c>
      <c r="J9" s="6" t="s">
        <v>123</v>
      </c>
      <c r="M9" s="7">
        <f>ARR!$B$6</f>
        <v>6000000</v>
      </c>
      <c r="O9" s="7">
        <f>ARR!$B$7</f>
        <v>8000000</v>
      </c>
      <c r="Q9" s="7"/>
      <c r="R9" s="7"/>
    </row>
    <row r="10">
      <c r="A10" s="6" t="s">
        <v>124</v>
      </c>
      <c r="B10" s="14">
        <v>8000000.0</v>
      </c>
      <c r="C10" s="3"/>
      <c r="D10" s="3"/>
      <c r="E10" s="3"/>
      <c r="F10" s="3"/>
      <c r="G10" s="3"/>
      <c r="H10" s="6" t="s">
        <v>125</v>
      </c>
      <c r="J10" s="6" t="s">
        <v>126</v>
      </c>
      <c r="M10" s="7">
        <f>ARR!$C$6</f>
        <v>6586373.437</v>
      </c>
      <c r="O10" s="7">
        <f>ARR!$C$7</f>
        <v>8340969.953</v>
      </c>
      <c r="Q10" s="7"/>
      <c r="R10" s="7"/>
    </row>
    <row r="11">
      <c r="A11" s="6" t="s">
        <v>127</v>
      </c>
      <c r="B11" s="17" t="s">
        <v>128</v>
      </c>
      <c r="C11" s="3"/>
      <c r="D11" s="3"/>
      <c r="E11" s="3"/>
      <c r="F11" s="3"/>
      <c r="G11" s="3"/>
      <c r="H11" s="6" t="s">
        <v>129</v>
      </c>
      <c r="J11" s="6" t="s">
        <v>130</v>
      </c>
      <c r="M11" s="7">
        <f>ARR!$D$6</f>
        <v>6586373.437</v>
      </c>
      <c r="O11" s="7">
        <f>ARR!$D$7</f>
        <v>8340969.953</v>
      </c>
      <c r="Q11" s="7"/>
      <c r="R11" s="7"/>
    </row>
    <row r="12">
      <c r="A12" s="6" t="s">
        <v>131</v>
      </c>
      <c r="B12" s="18">
        <v>1.0</v>
      </c>
      <c r="C12" s="3"/>
      <c r="D12" s="3"/>
      <c r="E12" s="3"/>
      <c r="F12" s="3"/>
      <c r="G12" s="3"/>
      <c r="H12" s="6" t="s">
        <v>132</v>
      </c>
      <c r="J12" s="12" t="s">
        <v>133</v>
      </c>
      <c r="M12" s="19">
        <f>ARR!$E$6</f>
        <v>586373.4369</v>
      </c>
      <c r="O12" s="19">
        <f>ARR!$E$7</f>
        <v>340969.9534</v>
      </c>
      <c r="Q12" s="19"/>
      <c r="R12" s="19"/>
    </row>
    <row r="13">
      <c r="A13" s="6" t="s">
        <v>134</v>
      </c>
      <c r="B13" s="20">
        <v>1.15</v>
      </c>
      <c r="C13" s="3"/>
      <c r="D13" s="3"/>
      <c r="E13" s="3"/>
      <c r="F13" s="3"/>
      <c r="G13" s="3"/>
      <c r="H13" s="6" t="s">
        <v>135</v>
      </c>
      <c r="J13" s="6" t="s">
        <v>136</v>
      </c>
      <c r="M13" s="7">
        <f>ARR!$C$10</f>
        <v>6308339.311</v>
      </c>
      <c r="O13" s="7">
        <f>ARR!$C$11</f>
        <v>7884706.969</v>
      </c>
      <c r="Q13" s="7"/>
      <c r="R13" s="7"/>
    </row>
    <row r="14">
      <c r="A14" s="6" t="s">
        <v>137</v>
      </c>
      <c r="B14" s="21">
        <v>4.0</v>
      </c>
      <c r="C14" s="21">
        <v>4.0</v>
      </c>
      <c r="D14" s="21">
        <v>4.0</v>
      </c>
      <c r="E14" s="3"/>
      <c r="F14" s="3"/>
      <c r="G14" s="3"/>
      <c r="H14" s="6" t="s">
        <v>138</v>
      </c>
      <c r="J14" s="6" t="s">
        <v>139</v>
      </c>
      <c r="M14" s="7">
        <f>ARR!$D$10</f>
        <v>6308339.311</v>
      </c>
      <c r="O14" s="7">
        <f>ARR!$D$11</f>
        <v>7884706.969</v>
      </c>
      <c r="Q14" s="7"/>
      <c r="R14" s="7"/>
    </row>
    <row r="15">
      <c r="A15" s="6" t="s">
        <v>140</v>
      </c>
      <c r="B15" s="21">
        <v>3.0</v>
      </c>
      <c r="C15" s="3"/>
      <c r="D15" s="3"/>
      <c r="E15" s="3"/>
      <c r="F15" s="3"/>
      <c r="G15" s="3"/>
      <c r="H15" s="6" t="s">
        <v>141</v>
      </c>
      <c r="J15" s="6" t="s">
        <v>142</v>
      </c>
      <c r="M15" s="9">
        <f>SUM($B$59:$B$61)</f>
        <v>8</v>
      </c>
      <c r="O15" s="9">
        <f>SUM($C$59:$C$61)</f>
        <v>5</v>
      </c>
      <c r="Q15" s="9"/>
      <c r="R15" s="9"/>
    </row>
    <row r="16">
      <c r="A16" s="6" t="s">
        <v>143</v>
      </c>
      <c r="B16" s="21">
        <v>1.0</v>
      </c>
      <c r="C16" s="3"/>
      <c r="D16" s="3"/>
      <c r="E16" s="3"/>
      <c r="F16" s="3"/>
      <c r="G16" s="3"/>
      <c r="H16" s="6" t="s">
        <v>144</v>
      </c>
      <c r="J16" s="6" t="s">
        <v>145</v>
      </c>
      <c r="M16" s="9">
        <f>SUM($B$67:$B$69)</f>
        <v>8</v>
      </c>
      <c r="O16" s="9">
        <f>SUM($C$67:$C$69)</f>
        <v>5</v>
      </c>
      <c r="Q16" s="9"/>
      <c r="R16" s="9"/>
    </row>
    <row r="17">
      <c r="A17" s="4" t="s">
        <v>146</v>
      </c>
      <c r="B17" s="5" t="s">
        <v>15</v>
      </c>
      <c r="C17" s="5" t="s">
        <v>16</v>
      </c>
      <c r="D17" s="5" t="s">
        <v>17</v>
      </c>
      <c r="E17" s="8"/>
      <c r="F17" s="8"/>
      <c r="G17" s="8"/>
      <c r="H17" s="4" t="s">
        <v>115</v>
      </c>
      <c r="J17" s="6" t="s">
        <v>147</v>
      </c>
      <c r="M17" s="7">
        <f>ARR!$C$8</f>
        <v>15586373.44</v>
      </c>
      <c r="O17" s="7">
        <f>ARR!$C$9</f>
        <v>23927343.39</v>
      </c>
      <c r="Q17" s="7"/>
      <c r="R17" s="7"/>
    </row>
    <row r="18">
      <c r="A18" s="6" t="s">
        <v>148</v>
      </c>
      <c r="B18" s="22">
        <v>0.3</v>
      </c>
      <c r="C18" s="22">
        <v>0.4</v>
      </c>
      <c r="D18" s="22">
        <v>0.3</v>
      </c>
      <c r="E18" s="3"/>
      <c r="F18" s="3"/>
      <c r="G18" s="3"/>
      <c r="H18" s="6" t="s">
        <v>149</v>
      </c>
      <c r="J18" s="6" t="s">
        <v>150</v>
      </c>
      <c r="M18" s="7">
        <f>ARR!$D$8</f>
        <v>15586373.44</v>
      </c>
      <c r="O18" s="7">
        <f>ARR!$D$9</f>
        <v>23927343.39</v>
      </c>
      <c r="Q18" s="7"/>
      <c r="R18" s="7"/>
    </row>
    <row r="19">
      <c r="A19" s="6" t="s">
        <v>151</v>
      </c>
      <c r="B19" s="23">
        <f>SUM(B18:D18)</f>
        <v>1</v>
      </c>
      <c r="C19" s="23"/>
      <c r="D19" s="23"/>
      <c r="E19" s="3"/>
      <c r="F19" s="3"/>
      <c r="G19" s="3"/>
      <c r="H19" s="6" t="s">
        <v>152</v>
      </c>
      <c r="J19" s="3"/>
      <c r="M19" s="3"/>
      <c r="N19" s="3"/>
      <c r="O19" s="3"/>
      <c r="P19" s="3"/>
      <c r="Q19" s="3"/>
      <c r="R19" s="3"/>
    </row>
    <row r="20">
      <c r="A20" s="6" t="s">
        <v>153</v>
      </c>
      <c r="B20" s="22">
        <v>0.3</v>
      </c>
      <c r="C20" s="22">
        <v>0.35</v>
      </c>
      <c r="D20" s="22">
        <v>0.35</v>
      </c>
      <c r="E20" s="3"/>
      <c r="F20" s="3"/>
      <c r="G20" s="3"/>
      <c r="H20" s="6" t="s">
        <v>154</v>
      </c>
      <c r="J20" s="4" t="s">
        <v>155</v>
      </c>
      <c r="M20" s="8"/>
      <c r="N20" s="8"/>
      <c r="O20" s="8"/>
      <c r="P20" s="8"/>
      <c r="Q20" s="8"/>
      <c r="R20" s="8"/>
    </row>
    <row r="21">
      <c r="A21" s="6" t="s">
        <v>156</v>
      </c>
      <c r="B21" s="23">
        <f>SUM(B20:D20)</f>
        <v>1</v>
      </c>
      <c r="C21" s="23"/>
      <c r="D21" s="23"/>
      <c r="E21" s="3"/>
      <c r="F21" s="3"/>
      <c r="G21" s="3"/>
      <c r="H21" s="6" t="s">
        <v>152</v>
      </c>
      <c r="J21" s="3"/>
      <c r="M21" s="15" t="s">
        <v>15</v>
      </c>
      <c r="O21" s="15" t="s">
        <v>16</v>
      </c>
      <c r="Q21" s="15" t="s">
        <v>17</v>
      </c>
    </row>
    <row r="22">
      <c r="A22" s="4" t="s">
        <v>157</v>
      </c>
      <c r="B22" s="24" t="s">
        <v>158</v>
      </c>
      <c r="E22" s="25" t="s">
        <v>159</v>
      </c>
      <c r="H22" s="8"/>
      <c r="J22" s="6" t="s">
        <v>160</v>
      </c>
      <c r="M22" s="26">
        <f>'Rep capacity'!$B$32</f>
        <v>0.85</v>
      </c>
      <c r="O22" s="26">
        <f>'Rep capacity'!$C$32</f>
        <v>0.8</v>
      </c>
      <c r="Q22" s="26">
        <f>'Rep capacity'!$D$32</f>
        <v>0.75</v>
      </c>
    </row>
    <row r="23">
      <c r="A23" s="4" t="s">
        <v>161</v>
      </c>
      <c r="B23" s="5" t="s">
        <v>15</v>
      </c>
      <c r="C23" s="5" t="s">
        <v>16</v>
      </c>
      <c r="D23" s="5" t="s">
        <v>17</v>
      </c>
      <c r="E23" s="27" t="s">
        <v>15</v>
      </c>
      <c r="F23" s="27" t="s">
        <v>16</v>
      </c>
      <c r="G23" s="27" t="s">
        <v>17</v>
      </c>
      <c r="H23" s="4" t="s">
        <v>115</v>
      </c>
      <c r="J23" s="6" t="s">
        <v>162</v>
      </c>
      <c r="M23" s="9">
        <f>COUNTIF(Funnel!$B$12:$I$12,"Below target")</f>
        <v>0</v>
      </c>
      <c r="O23" s="9">
        <f>COUNTIF(Funnel!$B$23:$I$23,"Below target")</f>
        <v>0</v>
      </c>
      <c r="Q23" s="9">
        <f>COUNTIF(Funnel!$B$34:$I$34,"Below target")</f>
        <v>0</v>
      </c>
    </row>
    <row r="24">
      <c r="A24" s="6" t="s">
        <v>163</v>
      </c>
      <c r="B24" s="22">
        <v>0.3</v>
      </c>
      <c r="C24" s="22">
        <v>0.25</v>
      </c>
      <c r="D24" s="22">
        <v>0.2</v>
      </c>
      <c r="E24" s="28">
        <v>0.3</v>
      </c>
      <c r="F24" s="28">
        <v>0.25</v>
      </c>
      <c r="G24" s="28">
        <v>0.2</v>
      </c>
      <c r="H24" s="6" t="s">
        <v>164</v>
      </c>
      <c r="J24" s="6" t="s">
        <v>165</v>
      </c>
      <c r="M24" s="9">
        <f>COUNTIF(Funnel!$B$67:$Y$67,"*Rep load*")</f>
        <v>0</v>
      </c>
      <c r="O24" s="9">
        <f>COUNTIF(Funnel!$B$95:$Y$95,"*Rep load*")</f>
        <v>0</v>
      </c>
      <c r="Q24" s="9">
        <f>COUNTIF(Funnel!$B$123:$Y$123,"*Rep load*")</f>
        <v>0</v>
      </c>
    </row>
    <row r="25">
      <c r="A25" s="6" t="s">
        <v>166</v>
      </c>
      <c r="B25" s="14">
        <v>4800.0</v>
      </c>
      <c r="C25" s="14">
        <v>24000.0</v>
      </c>
      <c r="D25" s="14">
        <v>150000.0</v>
      </c>
      <c r="E25" s="29">
        <v>4800.0</v>
      </c>
      <c r="F25" s="29">
        <v>24000.0</v>
      </c>
      <c r="G25" s="29">
        <v>150000.0</v>
      </c>
      <c r="H25" s="6" t="s">
        <v>167</v>
      </c>
      <c r="J25" s="6" t="s">
        <v>168</v>
      </c>
      <c r="M25" s="7">
        <f>ARR!$M$44-'Hiring plan'!$B$7</f>
        <v>178072.4721</v>
      </c>
      <c r="O25" s="7">
        <f>ARR!$M$55-'Hiring plan'!$B$24</f>
        <v>179550.7477</v>
      </c>
      <c r="Q25" s="7">
        <f>ARR!$M$66-'Hiring plan'!$B$41</f>
        <v>228750.2171</v>
      </c>
    </row>
    <row r="26">
      <c r="A26" s="6" t="s">
        <v>169</v>
      </c>
      <c r="B26" s="21">
        <v>60.0</v>
      </c>
      <c r="C26" s="21">
        <v>60.0</v>
      </c>
      <c r="D26" s="21">
        <v>60.0</v>
      </c>
      <c r="E26" s="30">
        <v>60.0</v>
      </c>
      <c r="F26" s="30">
        <v>60.0</v>
      </c>
      <c r="G26" s="30">
        <v>60.0</v>
      </c>
      <c r="H26" s="6" t="s">
        <v>170</v>
      </c>
      <c r="J26" s="6" t="s">
        <v>24</v>
      </c>
      <c r="M26" s="7">
        <f>ARR!$Y$44-'Hiring plan'!$C$7</f>
        <v>44618.08446</v>
      </c>
      <c r="O26" s="7">
        <f>ARR!$Y$55-'Hiring plan'!$C$24</f>
        <v>238168.8133</v>
      </c>
      <c r="Q26" s="7">
        <f>ARR!$Y$66-'Hiring plan'!$C$41</f>
        <v>644556.4925</v>
      </c>
    </row>
    <row r="27">
      <c r="A27" s="6" t="s">
        <v>171</v>
      </c>
      <c r="B27" s="31">
        <v>2.5</v>
      </c>
      <c r="C27" s="31">
        <v>7.5</v>
      </c>
      <c r="D27" s="31">
        <v>24.0</v>
      </c>
      <c r="E27" s="32">
        <v>2.5</v>
      </c>
      <c r="F27" s="32">
        <v>7.5</v>
      </c>
      <c r="G27" s="32">
        <v>24.0</v>
      </c>
      <c r="H27" s="6" t="s">
        <v>172</v>
      </c>
      <c r="J27" s="6" t="s">
        <v>21</v>
      </c>
      <c r="M27" s="7">
        <f>'Hiring plan'!$B$10</f>
        <v>178072.4721</v>
      </c>
      <c r="O27" s="7">
        <f>'Hiring plan'!$B$27</f>
        <v>179550.7477</v>
      </c>
      <c r="Q27" s="7">
        <f>'Hiring plan'!$B$44</f>
        <v>228750.2171</v>
      </c>
    </row>
    <row r="28">
      <c r="A28" s="6" t="s">
        <v>173</v>
      </c>
      <c r="B28" s="22">
        <v>0.85</v>
      </c>
      <c r="C28" s="22">
        <v>0.8</v>
      </c>
      <c r="D28" s="22">
        <v>0.75</v>
      </c>
      <c r="E28" s="33"/>
      <c r="F28" s="33"/>
      <c r="G28" s="33"/>
      <c r="H28" s="6" t="s">
        <v>174</v>
      </c>
      <c r="J28" s="6" t="s">
        <v>22</v>
      </c>
      <c r="M28" s="7">
        <f>'Hiring plan'!$C$10</f>
        <v>44618.08446</v>
      </c>
      <c r="O28" s="7">
        <f>'Hiring plan'!$C$27</f>
        <v>238168.8133</v>
      </c>
      <c r="Q28" s="7">
        <f>'Hiring plan'!$C$44</f>
        <v>644556.4925</v>
      </c>
    </row>
    <row r="29">
      <c r="A29" s="6" t="s">
        <v>175</v>
      </c>
      <c r="B29" s="14">
        <v>115000.0</v>
      </c>
      <c r="C29" s="14">
        <v>160000.0</v>
      </c>
      <c r="D29" s="14">
        <v>280000.0</v>
      </c>
      <c r="E29" s="34"/>
      <c r="F29" s="34"/>
      <c r="G29" s="34"/>
      <c r="H29" s="6" t="s">
        <v>176</v>
      </c>
      <c r="J29" s="6" t="s">
        <v>19</v>
      </c>
      <c r="M29" s="9">
        <f>$B$59</f>
        <v>6</v>
      </c>
      <c r="O29" s="9">
        <f>$B$60</f>
        <v>0</v>
      </c>
      <c r="Q29" s="9">
        <f>$B$61</f>
        <v>2</v>
      </c>
    </row>
    <row r="30">
      <c r="A30" s="6" t="s">
        <v>177</v>
      </c>
      <c r="B30" s="21">
        <v>1.0</v>
      </c>
      <c r="C30" s="21">
        <v>3.0</v>
      </c>
      <c r="D30" s="21">
        <v>6.0</v>
      </c>
      <c r="E30" s="30">
        <v>1.0</v>
      </c>
      <c r="F30" s="30">
        <v>3.0</v>
      </c>
      <c r="G30" s="30">
        <v>6.0</v>
      </c>
      <c r="H30" s="6" t="s">
        <v>178</v>
      </c>
      <c r="J30" s="6" t="s">
        <v>20</v>
      </c>
      <c r="M30" s="9">
        <f>$C$59</f>
        <v>2</v>
      </c>
      <c r="O30" s="9">
        <f>$C$60</f>
        <v>3</v>
      </c>
      <c r="Q30" s="9">
        <f>$C$61</f>
        <v>0</v>
      </c>
    </row>
    <row r="31">
      <c r="A31" s="6" t="s">
        <v>179</v>
      </c>
      <c r="B31" s="21">
        <v>2.0</v>
      </c>
      <c r="C31" s="21">
        <v>4.0</v>
      </c>
      <c r="D31" s="21">
        <v>2.0</v>
      </c>
      <c r="E31" s="35"/>
      <c r="F31" s="35"/>
      <c r="G31" s="35"/>
      <c r="H31" s="6" t="s">
        <v>180</v>
      </c>
      <c r="J31" s="3"/>
      <c r="M31" s="3"/>
      <c r="N31" s="3"/>
      <c r="O31" s="3"/>
      <c r="P31" s="3"/>
      <c r="Q31" s="3"/>
      <c r="R31" s="3"/>
    </row>
    <row r="32">
      <c r="A32" s="6" t="s">
        <v>181</v>
      </c>
      <c r="B32" s="21">
        <v>2.0</v>
      </c>
      <c r="C32" s="21">
        <v>3.0</v>
      </c>
      <c r="D32" s="21">
        <v>4.0</v>
      </c>
      <c r="E32" s="30">
        <v>2.0</v>
      </c>
      <c r="F32" s="30">
        <v>3.0</v>
      </c>
      <c r="G32" s="30">
        <v>4.0</v>
      </c>
      <c r="H32" s="6" t="s">
        <v>182</v>
      </c>
      <c r="J32" s="4" t="s">
        <v>25</v>
      </c>
      <c r="M32" s="8"/>
      <c r="N32" s="8"/>
      <c r="O32" s="8"/>
      <c r="P32" s="8"/>
      <c r="Q32" s="8"/>
      <c r="R32" s="8"/>
    </row>
    <row r="33">
      <c r="A33" s="6" t="s">
        <v>183</v>
      </c>
      <c r="B33" s="22">
        <v>0.0</v>
      </c>
      <c r="C33" s="22">
        <v>0.0</v>
      </c>
      <c r="D33" s="22">
        <v>0.0</v>
      </c>
      <c r="E33" s="28">
        <v>0.0</v>
      </c>
      <c r="F33" s="28">
        <v>0.0</v>
      </c>
      <c r="G33" s="28">
        <v>0.0</v>
      </c>
      <c r="H33" s="6" t="s">
        <v>184</v>
      </c>
      <c r="J33" s="3"/>
      <c r="M33" s="15" t="s">
        <v>119</v>
      </c>
      <c r="O33" s="15" t="s">
        <v>120</v>
      </c>
      <c r="Q33" s="16"/>
      <c r="R33" s="16"/>
    </row>
    <row r="34">
      <c r="A34" s="6" t="s">
        <v>185</v>
      </c>
      <c r="B34" s="22">
        <v>0.3</v>
      </c>
      <c r="C34" s="22">
        <v>0.2</v>
      </c>
      <c r="D34" s="22">
        <v>0.15</v>
      </c>
      <c r="E34" s="28">
        <v>0.3</v>
      </c>
      <c r="F34" s="28">
        <v>0.2</v>
      </c>
      <c r="G34" s="28">
        <v>0.15</v>
      </c>
      <c r="H34" s="6" t="s">
        <v>186</v>
      </c>
      <c r="J34" s="6" t="s">
        <v>187</v>
      </c>
      <c r="M34" s="7">
        <f>Cost!$B$6</f>
        <v>8345583.993</v>
      </c>
      <c r="O34" s="7">
        <f>Cost!$D$6</f>
        <v>9400622.225</v>
      </c>
      <c r="Q34" s="7"/>
      <c r="R34" s="7"/>
    </row>
    <row r="35">
      <c r="A35" s="6" t="s">
        <v>188</v>
      </c>
      <c r="B35" s="22">
        <v>0.12</v>
      </c>
      <c r="C35" s="22">
        <v>0.08</v>
      </c>
      <c r="D35" s="22">
        <v>0.04</v>
      </c>
      <c r="E35" s="28">
        <v>0.12</v>
      </c>
      <c r="F35" s="28">
        <v>0.08</v>
      </c>
      <c r="G35" s="28">
        <v>0.04</v>
      </c>
      <c r="H35" s="6" t="s">
        <v>189</v>
      </c>
      <c r="J35" s="6" t="s">
        <v>190</v>
      </c>
      <c r="M35" s="7">
        <f>Cost!$C$6</f>
        <v>8345583.993</v>
      </c>
      <c r="O35" s="7">
        <f>Cost!$E$6</f>
        <v>9400622.225</v>
      </c>
      <c r="Q35" s="7"/>
      <c r="R35" s="7"/>
    </row>
    <row r="36">
      <c r="A36" s="6" t="s">
        <v>191</v>
      </c>
      <c r="B36" s="22">
        <v>0.03</v>
      </c>
      <c r="C36" s="22">
        <v>0.02</v>
      </c>
      <c r="D36" s="22">
        <v>0.02</v>
      </c>
      <c r="E36" s="28">
        <v>0.03</v>
      </c>
      <c r="F36" s="28">
        <v>0.02</v>
      </c>
      <c r="G36" s="28">
        <v>0.02</v>
      </c>
      <c r="H36" s="6" t="s">
        <v>192</v>
      </c>
      <c r="J36" s="6" t="s">
        <v>193</v>
      </c>
      <c r="M36" s="10">
        <f>Cost!$B$9</f>
        <v>0.7892046191</v>
      </c>
      <c r="O36" s="10">
        <f>Cost!$D$9</f>
        <v>0.8872784965</v>
      </c>
      <c r="Q36" s="10"/>
      <c r="R36" s="10"/>
    </row>
    <row r="37">
      <c r="A37" s="6" t="s">
        <v>194</v>
      </c>
      <c r="B37" s="22">
        <v>0.1</v>
      </c>
      <c r="C37" s="22">
        <v>0.15</v>
      </c>
      <c r="D37" s="22">
        <v>0.12</v>
      </c>
      <c r="E37" s="28">
        <v>0.1</v>
      </c>
      <c r="F37" s="28">
        <v>0.15</v>
      </c>
      <c r="G37" s="28">
        <v>0.12</v>
      </c>
      <c r="H37" s="6" t="s">
        <v>195</v>
      </c>
      <c r="J37" s="6" t="s">
        <v>196</v>
      </c>
      <c r="M37" s="10">
        <f>Cost!$C$9</f>
        <v>0.7892046191</v>
      </c>
      <c r="O37" s="10">
        <f>Cost!$E$9</f>
        <v>0.8872784965</v>
      </c>
      <c r="Q37" s="10"/>
      <c r="R37" s="10"/>
    </row>
    <row r="38">
      <c r="A38" s="6" t="s">
        <v>197</v>
      </c>
      <c r="B38" s="22">
        <v>0.25</v>
      </c>
      <c r="C38" s="22">
        <v>0.25</v>
      </c>
      <c r="D38" s="22">
        <v>0.3</v>
      </c>
      <c r="E38" s="28">
        <v>0.25</v>
      </c>
      <c r="F38" s="28">
        <v>0.25</v>
      </c>
      <c r="G38" s="28">
        <v>0.3</v>
      </c>
      <c r="H38" s="6" t="s">
        <v>198</v>
      </c>
      <c r="J38" s="6" t="s">
        <v>199</v>
      </c>
      <c r="M38" s="11">
        <f>Cost!$B$10</f>
        <v>21.16711504</v>
      </c>
      <c r="O38" s="11">
        <f>Cost!$D$10</f>
        <v>19.07616303</v>
      </c>
      <c r="Q38" s="11"/>
      <c r="R38" s="11"/>
    </row>
    <row r="39">
      <c r="A39" s="6" t="s">
        <v>200</v>
      </c>
      <c r="B39" s="22">
        <v>0.28</v>
      </c>
      <c r="C39" s="22">
        <v>0.25</v>
      </c>
      <c r="D39" s="22">
        <v>0.3</v>
      </c>
      <c r="E39" s="28">
        <v>0.28</v>
      </c>
      <c r="F39" s="28">
        <v>0.25</v>
      </c>
      <c r="G39" s="28">
        <v>0.3</v>
      </c>
      <c r="H39" s="6" t="s">
        <v>201</v>
      </c>
      <c r="J39" s="6" t="s">
        <v>202</v>
      </c>
      <c r="M39" s="11">
        <f>Cost!$C$10</f>
        <v>21.16711504</v>
      </c>
      <c r="O39" s="11">
        <f>Cost!$E$10</f>
        <v>19.07616303</v>
      </c>
      <c r="Q39" s="11"/>
      <c r="R39" s="11"/>
    </row>
    <row r="40">
      <c r="A40" s="6" t="s">
        <v>203</v>
      </c>
      <c r="B40" s="36"/>
      <c r="C40" s="36"/>
      <c r="D40" s="36"/>
      <c r="E40" s="37">
        <v>1.0</v>
      </c>
      <c r="F40" s="37">
        <v>1.0</v>
      </c>
      <c r="G40" s="37">
        <v>1.0</v>
      </c>
      <c r="H40" s="6" t="s">
        <v>204</v>
      </c>
    </row>
    <row r="41">
      <c r="A41" s="38" t="s">
        <v>205</v>
      </c>
      <c r="B41" s="39"/>
      <c r="C41" s="39"/>
      <c r="D41" s="39"/>
      <c r="E41" s="40">
        <f>E40*B31*'Rep capacity'!$B$8*B30*B25</f>
        <v>230400</v>
      </c>
      <c r="F41" s="40">
        <f>F40*C31*'Rep capacity'!$C$8*C30*C25</f>
        <v>2304000</v>
      </c>
      <c r="G41" s="40">
        <f>G40*D31*'Rep capacity'!$D$8*D30*D25</f>
        <v>4500000</v>
      </c>
      <c r="H41" s="38" t="s">
        <v>206</v>
      </c>
    </row>
    <row r="42">
      <c r="A42" s="6" t="s">
        <v>207</v>
      </c>
      <c r="B42" s="33"/>
      <c r="C42" s="33"/>
      <c r="D42" s="33"/>
      <c r="E42" s="28">
        <v>1.0</v>
      </c>
      <c r="F42" s="28">
        <v>1.0</v>
      </c>
      <c r="G42" s="28">
        <v>1.0</v>
      </c>
      <c r="H42" s="6" t="s">
        <v>208</v>
      </c>
    </row>
    <row r="43">
      <c r="A43" s="6" t="s">
        <v>209</v>
      </c>
      <c r="B43" s="41"/>
      <c r="C43" s="41"/>
      <c r="D43" s="41"/>
      <c r="E43" s="42">
        <v>1810.0</v>
      </c>
      <c r="F43" s="42">
        <v>430.0</v>
      </c>
      <c r="G43" s="42">
        <v>82.0</v>
      </c>
      <c r="H43" s="6" t="s">
        <v>210</v>
      </c>
    </row>
    <row r="44">
      <c r="A44" s="6" t="s">
        <v>211</v>
      </c>
      <c r="B44" s="41"/>
      <c r="C44" s="41"/>
      <c r="D44" s="41"/>
      <c r="E44" s="42">
        <v>2181.0</v>
      </c>
      <c r="F44" s="42">
        <v>576.0</v>
      </c>
      <c r="G44" s="42">
        <v>84.0</v>
      </c>
      <c r="H44" s="6" t="s">
        <v>212</v>
      </c>
    </row>
    <row r="45">
      <c r="A45" s="38" t="s">
        <v>213</v>
      </c>
      <c r="B45" s="43"/>
      <c r="C45" s="43"/>
      <c r="D45" s="43"/>
      <c r="E45" s="44">
        <f>IF(COUNT(Funnel!$B$62:$M$62)=0,0,AVERAGE(Funnel!$B$62:$M$62))</f>
        <v>1885.433562</v>
      </c>
      <c r="F45" s="44">
        <f>IF(COUNT(Funnel!$B$90:$M$90)=0,0,AVERAGE(Funnel!$B$90:$M$90))</f>
        <v>429.975726</v>
      </c>
      <c r="G45" s="44">
        <f>IF(COUNT(Funnel!$B$118:$M$118)=0,0,AVERAGE(Funnel!$B$118:$M$118))</f>
        <v>84.02167233</v>
      </c>
      <c r="H45" s="38" t="s">
        <v>214</v>
      </c>
    </row>
    <row r="46">
      <c r="A46" s="38" t="s">
        <v>215</v>
      </c>
      <c r="B46" s="43"/>
      <c r="C46" s="43"/>
      <c r="D46" s="43"/>
      <c r="E46" s="44">
        <f>IF(COUNT(Funnel!$N$62:$Y$62)=0,0,AVERAGE(Funnel!$N$62:$Y$62))</f>
        <v>2125.665261</v>
      </c>
      <c r="F46" s="44">
        <f>IF(COUNT(Funnel!$N$90:$Y$90)=0,0,AVERAGE(Funnel!$N$90:$Y$90))</f>
        <v>611.1939773</v>
      </c>
      <c r="G46" s="44">
        <f>IF(COUNT(Funnel!$N$118:$Y$118)=0,0,AVERAGE(Funnel!$N$118:$Y$118))</f>
        <v>83.63089204</v>
      </c>
      <c r="H46" s="38" t="s">
        <v>216</v>
      </c>
    </row>
    <row r="47">
      <c r="A47" s="4" t="s">
        <v>217</v>
      </c>
      <c r="B47" s="5" t="s">
        <v>15</v>
      </c>
      <c r="C47" s="5" t="s">
        <v>16</v>
      </c>
      <c r="D47" s="5" t="s">
        <v>17</v>
      </c>
      <c r="E47" s="5" t="s">
        <v>15</v>
      </c>
      <c r="F47" s="5" t="s">
        <v>16</v>
      </c>
      <c r="G47" s="5" t="s">
        <v>17</v>
      </c>
      <c r="H47" s="4" t="s">
        <v>115</v>
      </c>
    </row>
    <row r="48">
      <c r="A48" s="6" t="s">
        <v>218</v>
      </c>
      <c r="B48" s="22">
        <v>0.5</v>
      </c>
      <c r="C48" s="22">
        <v>0.5</v>
      </c>
      <c r="D48" s="22">
        <v>0.5</v>
      </c>
      <c r="E48" s="33"/>
      <c r="F48" s="33"/>
      <c r="G48" s="33"/>
      <c r="H48" s="6" t="s">
        <v>219</v>
      </c>
    </row>
    <row r="49">
      <c r="A49" s="6" t="s">
        <v>220</v>
      </c>
      <c r="B49" s="14">
        <v>50.0</v>
      </c>
      <c r="C49" s="14">
        <v>150.0</v>
      </c>
      <c r="D49" s="14">
        <v>800.0</v>
      </c>
      <c r="E49" s="29">
        <v>50.0</v>
      </c>
      <c r="F49" s="29">
        <v>150.0</v>
      </c>
      <c r="G49" s="29">
        <v>800.0</v>
      </c>
      <c r="H49" s="6" t="s">
        <v>221</v>
      </c>
    </row>
    <row r="50">
      <c r="A50" s="6" t="s">
        <v>222</v>
      </c>
      <c r="B50" s="20">
        <v>1.25</v>
      </c>
      <c r="C50" s="3"/>
      <c r="D50" s="3"/>
      <c r="E50" s="3"/>
      <c r="F50" s="3"/>
      <c r="G50" s="3"/>
      <c r="H50" s="6" t="s">
        <v>223</v>
      </c>
    </row>
    <row r="51">
      <c r="A51" s="6" t="s">
        <v>224</v>
      </c>
      <c r="B51" s="22">
        <v>1.0</v>
      </c>
      <c r="C51" s="3"/>
      <c r="D51" s="3"/>
      <c r="E51" s="3"/>
      <c r="F51" s="3"/>
      <c r="G51" s="3"/>
      <c r="H51" s="6" t="s">
        <v>225</v>
      </c>
    </row>
    <row r="52">
      <c r="A52" s="6" t="s">
        <v>226</v>
      </c>
      <c r="B52" s="14">
        <v>100000.0</v>
      </c>
      <c r="C52" s="3"/>
      <c r="D52" s="3"/>
      <c r="E52" s="3"/>
      <c r="F52" s="3"/>
      <c r="G52" s="3"/>
      <c r="H52" s="6" t="s">
        <v>227</v>
      </c>
    </row>
    <row r="53">
      <c r="A53" s="6" t="s">
        <v>228</v>
      </c>
      <c r="B53" s="22">
        <v>0.75</v>
      </c>
      <c r="C53" s="3"/>
      <c r="D53" s="3"/>
      <c r="E53" s="3"/>
      <c r="F53" s="3"/>
      <c r="G53" s="3"/>
      <c r="H53" s="6" t="s">
        <v>229</v>
      </c>
    </row>
    <row r="54">
      <c r="A54" s="38" t="s">
        <v>230</v>
      </c>
      <c r="B54" s="45"/>
      <c r="C54" s="45"/>
      <c r="D54" s="45"/>
      <c r="E54" s="45"/>
      <c r="F54" s="45"/>
      <c r="G54" s="45"/>
      <c r="H54" s="45"/>
    </row>
    <row r="55">
      <c r="A55" s="3"/>
      <c r="B55" s="3"/>
      <c r="C55" s="3"/>
      <c r="D55" s="3"/>
      <c r="E55" s="3"/>
      <c r="F55" s="3"/>
      <c r="G55" s="3"/>
      <c r="H55" s="3"/>
    </row>
    <row r="56">
      <c r="A56" s="4" t="s">
        <v>231</v>
      </c>
      <c r="B56" s="8"/>
      <c r="C56" s="8"/>
      <c r="D56" s="8"/>
      <c r="E56" s="8"/>
      <c r="F56" s="8"/>
      <c r="G56" s="8"/>
      <c r="H56" s="8"/>
      <c r="I56" s="46"/>
      <c r="J56" s="46"/>
      <c r="K56" s="46"/>
      <c r="L56" s="46"/>
      <c r="M56" s="46"/>
      <c r="N56" s="46"/>
      <c r="O56" s="46"/>
      <c r="P56" s="46"/>
      <c r="Q56" s="46"/>
      <c r="R56" s="46"/>
      <c r="S56" s="46"/>
      <c r="T56" s="46"/>
      <c r="U56" s="46"/>
      <c r="V56" s="46"/>
      <c r="W56" s="46"/>
      <c r="X56" s="46"/>
      <c r="Y56" s="46"/>
      <c r="Z56" s="46"/>
      <c r="AA56" s="46"/>
      <c r="AB56" s="46"/>
      <c r="AC56" s="46"/>
      <c r="AD56" s="46"/>
      <c r="AE56" s="46"/>
      <c r="AF56" s="46"/>
      <c r="AG56" s="46"/>
    </row>
    <row r="57">
      <c r="A57" s="4" t="s">
        <v>232</v>
      </c>
      <c r="B57" s="5" t="s">
        <v>119</v>
      </c>
      <c r="C57" s="5" t="s">
        <v>120</v>
      </c>
      <c r="D57" s="47"/>
      <c r="E57" s="47"/>
      <c r="F57" s="47"/>
      <c r="G57" s="47"/>
      <c r="H57" s="5" t="s">
        <v>115</v>
      </c>
      <c r="I57" s="48"/>
      <c r="J57" s="49">
        <v>1.0</v>
      </c>
      <c r="K57" s="49">
        <v>2.0</v>
      </c>
      <c r="L57" s="49">
        <v>3.0</v>
      </c>
      <c r="M57" s="49">
        <v>4.0</v>
      </c>
      <c r="N57" s="49">
        <v>5.0</v>
      </c>
      <c r="O57" s="49">
        <v>6.0</v>
      </c>
      <c r="P57" s="49">
        <v>7.0</v>
      </c>
      <c r="Q57" s="49">
        <v>8.0</v>
      </c>
      <c r="R57" s="49">
        <v>9.0</v>
      </c>
      <c r="S57" s="49">
        <v>10.0</v>
      </c>
      <c r="T57" s="49">
        <v>11.0</v>
      </c>
      <c r="U57" s="49">
        <v>12.0</v>
      </c>
      <c r="V57" s="49">
        <v>13.0</v>
      </c>
      <c r="W57" s="49">
        <v>14.0</v>
      </c>
      <c r="X57" s="49">
        <v>15.0</v>
      </c>
      <c r="Y57" s="49">
        <v>16.0</v>
      </c>
      <c r="Z57" s="49">
        <v>17.0</v>
      </c>
      <c r="AA57" s="49">
        <v>18.0</v>
      </c>
      <c r="AB57" s="49">
        <v>19.0</v>
      </c>
      <c r="AC57" s="49">
        <v>20.0</v>
      </c>
      <c r="AD57" s="49">
        <v>21.0</v>
      </c>
      <c r="AE57" s="49">
        <v>22.0</v>
      </c>
      <c r="AF57" s="49">
        <v>23.0</v>
      </c>
      <c r="AG57" s="49">
        <v>24.0</v>
      </c>
    </row>
    <row r="58">
      <c r="A58" s="12" t="s">
        <v>233</v>
      </c>
      <c r="B58" s="50"/>
      <c r="C58" s="50"/>
      <c r="D58" s="50"/>
      <c r="E58" s="50"/>
      <c r="F58" s="50"/>
      <c r="G58" s="50"/>
      <c r="H58" s="50"/>
      <c r="I58" s="51"/>
      <c r="J58" s="51"/>
      <c r="K58" s="51"/>
      <c r="L58" s="51"/>
      <c r="M58" s="51"/>
      <c r="N58" s="51"/>
      <c r="O58" s="51"/>
      <c r="P58" s="51"/>
      <c r="Q58" s="51"/>
      <c r="R58" s="51"/>
      <c r="S58" s="51"/>
      <c r="T58" s="51"/>
      <c r="U58" s="51"/>
      <c r="V58" s="51"/>
      <c r="W58" s="51"/>
      <c r="X58" s="51"/>
      <c r="Y58" s="51"/>
      <c r="Z58" s="51"/>
      <c r="AA58" s="51"/>
      <c r="AB58" s="51"/>
      <c r="AC58" s="51"/>
      <c r="AD58" s="51"/>
      <c r="AE58" s="51"/>
      <c r="AF58" s="51"/>
      <c r="AG58" s="51"/>
    </row>
    <row r="59">
      <c r="A59" s="6" t="s">
        <v>15</v>
      </c>
      <c r="B59" s="9">
        <f t="shared" ref="B59:B61" si="1">SUM(J59:U59)</f>
        <v>6</v>
      </c>
      <c r="C59" s="9">
        <f t="shared" ref="C59:C61" si="2">SUM(V59:AG59)</f>
        <v>2</v>
      </c>
      <c r="D59" s="3"/>
      <c r="E59" s="3"/>
      <c r="F59" s="3"/>
      <c r="G59" s="3"/>
      <c r="H59" s="6" t="s">
        <v>234</v>
      </c>
      <c r="J59" s="52">
        <f>'Hiring plan'!B$73</f>
        <v>4</v>
      </c>
      <c r="K59" s="52">
        <f>'Hiring plan'!C$73</f>
        <v>0</v>
      </c>
      <c r="L59" s="52">
        <f>'Hiring plan'!D$73</f>
        <v>0</v>
      </c>
      <c r="M59" s="52">
        <f>'Hiring plan'!E$73</f>
        <v>2</v>
      </c>
      <c r="N59" s="52">
        <f>'Hiring plan'!F$73</f>
        <v>0</v>
      </c>
      <c r="O59" s="52">
        <f>'Hiring plan'!G$73</f>
        <v>0</v>
      </c>
      <c r="P59" s="52">
        <f>'Hiring plan'!H$73</f>
        <v>0</v>
      </c>
      <c r="Q59" s="52">
        <f>'Hiring plan'!I$73</f>
        <v>0</v>
      </c>
      <c r="R59" s="52">
        <f>'Hiring plan'!J$73</f>
        <v>0</v>
      </c>
      <c r="S59" s="52">
        <f>'Hiring plan'!K$73</f>
        <v>0</v>
      </c>
      <c r="T59" s="52">
        <f>'Hiring plan'!L$73</f>
        <v>0</v>
      </c>
      <c r="U59" s="52">
        <f>'Hiring plan'!M$73</f>
        <v>0</v>
      </c>
      <c r="V59" s="52">
        <f>'Hiring plan'!N$73</f>
        <v>2</v>
      </c>
      <c r="W59" s="52">
        <f>'Hiring plan'!O$73</f>
        <v>0</v>
      </c>
      <c r="X59" s="52">
        <f>'Hiring plan'!P$73</f>
        <v>0</v>
      </c>
      <c r="Y59" s="52">
        <f>'Hiring plan'!Q$73</f>
        <v>0</v>
      </c>
      <c r="Z59" s="52">
        <f>'Hiring plan'!R$73</f>
        <v>0</v>
      </c>
      <c r="AA59" s="52">
        <f>'Hiring plan'!S$73</f>
        <v>0</v>
      </c>
      <c r="AB59" s="52">
        <f>'Hiring plan'!T$73</f>
        <v>0</v>
      </c>
      <c r="AC59" s="52">
        <f>'Hiring plan'!U$73</f>
        <v>0</v>
      </c>
      <c r="AD59" s="52">
        <f>'Hiring plan'!V$73</f>
        <v>0</v>
      </c>
      <c r="AE59" s="52">
        <f>'Hiring plan'!W$73</f>
        <v>0</v>
      </c>
      <c r="AF59" s="52">
        <f>'Hiring plan'!X$73</f>
        <v>0</v>
      </c>
      <c r="AG59" s="52">
        <f>'Hiring plan'!Y$73</f>
        <v>0</v>
      </c>
    </row>
    <row r="60">
      <c r="A60" s="6" t="s">
        <v>16</v>
      </c>
      <c r="B60" s="9">
        <f t="shared" si="1"/>
        <v>0</v>
      </c>
      <c r="C60" s="9">
        <f t="shared" si="2"/>
        <v>3</v>
      </c>
      <c r="D60" s="3"/>
      <c r="E60" s="3"/>
      <c r="F60" s="3"/>
      <c r="G60" s="3"/>
      <c r="H60" s="6" t="s">
        <v>234</v>
      </c>
      <c r="J60" s="52">
        <f>'Hiring plan'!B$84</f>
        <v>0</v>
      </c>
      <c r="K60" s="52">
        <f>'Hiring plan'!C$84</f>
        <v>0</v>
      </c>
      <c r="L60" s="52">
        <f>'Hiring plan'!D$84</f>
        <v>0</v>
      </c>
      <c r="M60" s="52">
        <f>'Hiring plan'!E$84</f>
        <v>0</v>
      </c>
      <c r="N60" s="52">
        <f>'Hiring plan'!F$84</f>
        <v>0</v>
      </c>
      <c r="O60" s="52">
        <f>'Hiring plan'!G$84</f>
        <v>0</v>
      </c>
      <c r="P60" s="52">
        <f>'Hiring plan'!H$84</f>
        <v>0</v>
      </c>
      <c r="Q60" s="52">
        <f>'Hiring plan'!I$84</f>
        <v>0</v>
      </c>
      <c r="R60" s="52">
        <f>'Hiring plan'!J$84</f>
        <v>0</v>
      </c>
      <c r="S60" s="52">
        <f>'Hiring plan'!K$84</f>
        <v>0</v>
      </c>
      <c r="T60" s="52">
        <f>'Hiring plan'!L$84</f>
        <v>0</v>
      </c>
      <c r="U60" s="52">
        <f>'Hiring plan'!M$84</f>
        <v>0</v>
      </c>
      <c r="V60" s="52">
        <f>'Hiring plan'!N$84</f>
        <v>3</v>
      </c>
      <c r="W60" s="52">
        <f>'Hiring plan'!O$84</f>
        <v>0</v>
      </c>
      <c r="X60" s="52">
        <f>'Hiring plan'!P$84</f>
        <v>0</v>
      </c>
      <c r="Y60" s="52">
        <f>'Hiring plan'!Q$84</f>
        <v>0</v>
      </c>
      <c r="Z60" s="52">
        <f>'Hiring plan'!R$84</f>
        <v>0</v>
      </c>
      <c r="AA60" s="52">
        <f>'Hiring plan'!S$84</f>
        <v>0</v>
      </c>
      <c r="AB60" s="52">
        <f>'Hiring plan'!T$84</f>
        <v>0</v>
      </c>
      <c r="AC60" s="52">
        <f>'Hiring plan'!U$84</f>
        <v>0</v>
      </c>
      <c r="AD60" s="52">
        <f>'Hiring plan'!V$84</f>
        <v>0</v>
      </c>
      <c r="AE60" s="52">
        <f>'Hiring plan'!W$84</f>
        <v>0</v>
      </c>
      <c r="AF60" s="52">
        <f>'Hiring plan'!X$84</f>
        <v>0</v>
      </c>
      <c r="AG60" s="52">
        <f>'Hiring plan'!Y$84</f>
        <v>0</v>
      </c>
    </row>
    <row r="61">
      <c r="A61" s="6" t="s">
        <v>17</v>
      </c>
      <c r="B61" s="9">
        <f t="shared" si="1"/>
        <v>2</v>
      </c>
      <c r="C61" s="9">
        <f t="shared" si="2"/>
        <v>0</v>
      </c>
      <c r="D61" s="3"/>
      <c r="E61" s="3"/>
      <c r="F61" s="3"/>
      <c r="G61" s="3"/>
      <c r="H61" s="6" t="s">
        <v>234</v>
      </c>
      <c r="J61" s="52">
        <f>'Hiring plan'!B$95</f>
        <v>2</v>
      </c>
      <c r="K61" s="52">
        <f>'Hiring plan'!C$95</f>
        <v>0</v>
      </c>
      <c r="L61" s="52">
        <f>'Hiring plan'!D$95</f>
        <v>0</v>
      </c>
      <c r="M61" s="52">
        <f>'Hiring plan'!E$95</f>
        <v>0</v>
      </c>
      <c r="N61" s="52">
        <f>'Hiring plan'!F$95</f>
        <v>0</v>
      </c>
      <c r="O61" s="52">
        <f>'Hiring plan'!G$95</f>
        <v>0</v>
      </c>
      <c r="P61" s="52">
        <f>'Hiring plan'!H$95</f>
        <v>0</v>
      </c>
      <c r="Q61" s="52">
        <f>'Hiring plan'!I$95</f>
        <v>0</v>
      </c>
      <c r="R61" s="52">
        <f>'Hiring plan'!J$95</f>
        <v>0</v>
      </c>
      <c r="S61" s="52">
        <f>'Hiring plan'!K$95</f>
        <v>0</v>
      </c>
      <c r="T61" s="52">
        <f>'Hiring plan'!L$95</f>
        <v>0</v>
      </c>
      <c r="U61" s="52">
        <f>'Hiring plan'!M$95</f>
        <v>0</v>
      </c>
      <c r="V61" s="52">
        <f>'Hiring plan'!N$95</f>
        <v>0</v>
      </c>
      <c r="W61" s="52">
        <f>'Hiring plan'!O$95</f>
        <v>0</v>
      </c>
      <c r="X61" s="52">
        <f>'Hiring plan'!P$95</f>
        <v>0</v>
      </c>
      <c r="Y61" s="52">
        <f>'Hiring plan'!Q$95</f>
        <v>0</v>
      </c>
      <c r="Z61" s="52">
        <f>'Hiring plan'!R$95</f>
        <v>0</v>
      </c>
      <c r="AA61" s="52">
        <f>'Hiring plan'!S$95</f>
        <v>0</v>
      </c>
      <c r="AB61" s="52">
        <f>'Hiring plan'!T$95</f>
        <v>0</v>
      </c>
      <c r="AC61" s="52">
        <f>'Hiring plan'!U$95</f>
        <v>0</v>
      </c>
      <c r="AD61" s="52">
        <f>'Hiring plan'!V$95</f>
        <v>0</v>
      </c>
      <c r="AE61" s="52">
        <f>'Hiring plan'!W$95</f>
        <v>0</v>
      </c>
      <c r="AF61" s="52">
        <f>'Hiring plan'!X$95</f>
        <v>0</v>
      </c>
      <c r="AG61" s="52">
        <f>'Hiring plan'!Y$95</f>
        <v>0</v>
      </c>
    </row>
    <row r="62">
      <c r="A62" s="12" t="s">
        <v>235</v>
      </c>
      <c r="B62" s="53"/>
      <c r="C62" s="53"/>
      <c r="D62" s="50"/>
      <c r="E62" s="50"/>
      <c r="F62" s="50"/>
      <c r="G62" s="50"/>
      <c r="H62" s="50"/>
      <c r="I62" s="51"/>
      <c r="J62" s="54"/>
      <c r="K62" s="54"/>
      <c r="L62" s="54"/>
      <c r="M62" s="54"/>
      <c r="N62" s="54"/>
      <c r="O62" s="54"/>
      <c r="P62" s="54"/>
      <c r="Q62" s="54"/>
      <c r="R62" s="54"/>
      <c r="S62" s="54"/>
      <c r="T62" s="54"/>
      <c r="U62" s="54"/>
      <c r="V62" s="54"/>
      <c r="W62" s="54"/>
      <c r="X62" s="54"/>
      <c r="Y62" s="54"/>
      <c r="Z62" s="54"/>
      <c r="AA62" s="54"/>
      <c r="AB62" s="54"/>
      <c r="AC62" s="54"/>
      <c r="AD62" s="54"/>
      <c r="AE62" s="54"/>
      <c r="AF62" s="54"/>
      <c r="AG62" s="54"/>
    </row>
    <row r="63">
      <c r="A63" s="6" t="s">
        <v>15</v>
      </c>
      <c r="B63" s="9" t="str">
        <f t="shared" ref="B63:B65" si="3">IF(COUNT(J63:U63)=0,"",SUM(J63:U63))</f>
        <v/>
      </c>
      <c r="C63" s="9" t="str">
        <f t="shared" ref="C63:C65" si="4">IF(COUNT(V63:AG63)=0,"",SUM(V63:AG63))</f>
        <v/>
      </c>
      <c r="D63" s="3"/>
      <c r="E63" s="3"/>
      <c r="F63" s="3"/>
      <c r="G63" s="3"/>
      <c r="H63" s="6" t="s">
        <v>236</v>
      </c>
      <c r="J63" s="55"/>
      <c r="K63" s="55"/>
      <c r="L63" s="55"/>
      <c r="M63" s="55"/>
      <c r="N63" s="55"/>
      <c r="O63" s="55"/>
      <c r="P63" s="55"/>
      <c r="Q63" s="55"/>
      <c r="R63" s="55"/>
      <c r="S63" s="55"/>
      <c r="T63" s="55"/>
      <c r="U63" s="55"/>
      <c r="V63" s="55"/>
      <c r="W63" s="55"/>
      <c r="X63" s="55"/>
      <c r="Y63" s="55"/>
      <c r="Z63" s="55"/>
      <c r="AA63" s="55"/>
      <c r="AB63" s="55"/>
      <c r="AC63" s="55"/>
      <c r="AD63" s="55"/>
      <c r="AE63" s="55"/>
      <c r="AF63" s="55"/>
      <c r="AG63" s="55"/>
    </row>
    <row r="64">
      <c r="A64" s="6" t="s">
        <v>16</v>
      </c>
      <c r="B64" s="9" t="str">
        <f t="shared" si="3"/>
        <v/>
      </c>
      <c r="C64" s="9" t="str">
        <f t="shared" si="4"/>
        <v/>
      </c>
      <c r="D64" s="3"/>
      <c r="E64" s="3"/>
      <c r="F64" s="3"/>
      <c r="G64" s="3"/>
      <c r="H64" s="6" t="s">
        <v>236</v>
      </c>
      <c r="J64" s="55"/>
      <c r="K64" s="55"/>
      <c r="L64" s="55"/>
      <c r="M64" s="55"/>
      <c r="N64" s="55"/>
      <c r="O64" s="55"/>
      <c r="P64" s="55"/>
      <c r="Q64" s="55"/>
      <c r="R64" s="55"/>
      <c r="S64" s="55"/>
      <c r="T64" s="55"/>
      <c r="U64" s="55"/>
      <c r="V64" s="55"/>
      <c r="W64" s="55"/>
      <c r="X64" s="55"/>
      <c r="Y64" s="55"/>
      <c r="Z64" s="55"/>
      <c r="AA64" s="55"/>
      <c r="AB64" s="55"/>
      <c r="AC64" s="55"/>
      <c r="AD64" s="55"/>
      <c r="AE64" s="55"/>
      <c r="AF64" s="55"/>
      <c r="AG64" s="55"/>
    </row>
    <row r="65">
      <c r="A65" s="6" t="s">
        <v>17</v>
      </c>
      <c r="B65" s="9" t="str">
        <f t="shared" si="3"/>
        <v/>
      </c>
      <c r="C65" s="9" t="str">
        <f t="shared" si="4"/>
        <v/>
      </c>
      <c r="D65" s="3"/>
      <c r="E65" s="3"/>
      <c r="F65" s="3"/>
      <c r="G65" s="3"/>
      <c r="H65" s="6" t="s">
        <v>236</v>
      </c>
      <c r="J65" s="55"/>
      <c r="K65" s="55"/>
      <c r="L65" s="55"/>
      <c r="M65" s="55"/>
      <c r="N65" s="55"/>
      <c r="O65" s="55"/>
      <c r="P65" s="55"/>
      <c r="Q65" s="55"/>
      <c r="R65" s="55"/>
      <c r="S65" s="55"/>
      <c r="T65" s="55"/>
      <c r="U65" s="55"/>
      <c r="V65" s="55"/>
      <c r="W65" s="55"/>
      <c r="X65" s="55"/>
      <c r="Y65" s="55"/>
      <c r="Z65" s="55"/>
      <c r="AA65" s="55"/>
      <c r="AB65" s="55"/>
      <c r="AC65" s="55"/>
      <c r="AD65" s="55"/>
      <c r="AE65" s="55"/>
      <c r="AF65" s="55"/>
      <c r="AG65" s="55"/>
    </row>
    <row r="66">
      <c r="A66" s="12" t="s">
        <v>237</v>
      </c>
      <c r="B66" s="53"/>
      <c r="C66" s="53"/>
      <c r="D66" s="50"/>
      <c r="E66" s="50"/>
      <c r="F66" s="50"/>
      <c r="G66" s="50"/>
      <c r="H66" s="50"/>
      <c r="I66" s="51"/>
      <c r="J66" s="54"/>
      <c r="K66" s="54"/>
      <c r="L66" s="54"/>
      <c r="M66" s="54"/>
      <c r="N66" s="54"/>
      <c r="O66" s="54"/>
      <c r="P66" s="54"/>
      <c r="Q66" s="54"/>
      <c r="R66" s="54"/>
      <c r="S66" s="54"/>
      <c r="T66" s="54"/>
      <c r="U66" s="54"/>
      <c r="V66" s="54"/>
      <c r="W66" s="54"/>
      <c r="X66" s="54"/>
      <c r="Y66" s="54"/>
      <c r="Z66" s="54"/>
      <c r="AA66" s="54"/>
      <c r="AB66" s="54"/>
      <c r="AC66" s="54"/>
      <c r="AD66" s="54"/>
      <c r="AE66" s="54"/>
      <c r="AF66" s="54"/>
      <c r="AG66" s="54"/>
    </row>
    <row r="67">
      <c r="A67" s="6" t="s">
        <v>15</v>
      </c>
      <c r="B67" s="9">
        <f t="shared" ref="B67:B69" si="6">SUM(J67:U67)</f>
        <v>6</v>
      </c>
      <c r="C67" s="9">
        <f t="shared" ref="C67:C69" si="7">SUM(V67:AG67)</f>
        <v>2</v>
      </c>
      <c r="D67" s="3"/>
      <c r="E67" s="3"/>
      <c r="F67" s="3"/>
      <c r="G67" s="3"/>
      <c r="H67" s="6" t="s">
        <v>238</v>
      </c>
      <c r="J67" s="52">
        <f t="shared" ref="J67:AG67" si="5">IF(J63&lt;&gt;"",J63,J59)</f>
        <v>4</v>
      </c>
      <c r="K67" s="52">
        <f t="shared" si="5"/>
        <v>0</v>
      </c>
      <c r="L67" s="52">
        <f t="shared" si="5"/>
        <v>0</v>
      </c>
      <c r="M67" s="52">
        <f t="shared" si="5"/>
        <v>2</v>
      </c>
      <c r="N67" s="52">
        <f t="shared" si="5"/>
        <v>0</v>
      </c>
      <c r="O67" s="52">
        <f t="shared" si="5"/>
        <v>0</v>
      </c>
      <c r="P67" s="52">
        <f t="shared" si="5"/>
        <v>0</v>
      </c>
      <c r="Q67" s="52">
        <f t="shared" si="5"/>
        <v>0</v>
      </c>
      <c r="R67" s="52">
        <f t="shared" si="5"/>
        <v>0</v>
      </c>
      <c r="S67" s="52">
        <f t="shared" si="5"/>
        <v>0</v>
      </c>
      <c r="T67" s="52">
        <f t="shared" si="5"/>
        <v>0</v>
      </c>
      <c r="U67" s="52">
        <f t="shared" si="5"/>
        <v>0</v>
      </c>
      <c r="V67" s="52">
        <f t="shared" si="5"/>
        <v>2</v>
      </c>
      <c r="W67" s="52">
        <f t="shared" si="5"/>
        <v>0</v>
      </c>
      <c r="X67" s="52">
        <f t="shared" si="5"/>
        <v>0</v>
      </c>
      <c r="Y67" s="52">
        <f t="shared" si="5"/>
        <v>0</v>
      </c>
      <c r="Z67" s="52">
        <f t="shared" si="5"/>
        <v>0</v>
      </c>
      <c r="AA67" s="52">
        <f t="shared" si="5"/>
        <v>0</v>
      </c>
      <c r="AB67" s="52">
        <f t="shared" si="5"/>
        <v>0</v>
      </c>
      <c r="AC67" s="52">
        <f t="shared" si="5"/>
        <v>0</v>
      </c>
      <c r="AD67" s="52">
        <f t="shared" si="5"/>
        <v>0</v>
      </c>
      <c r="AE67" s="52">
        <f t="shared" si="5"/>
        <v>0</v>
      </c>
      <c r="AF67" s="52">
        <f t="shared" si="5"/>
        <v>0</v>
      </c>
      <c r="AG67" s="52">
        <f t="shared" si="5"/>
        <v>0</v>
      </c>
    </row>
    <row r="68">
      <c r="A68" s="6" t="s">
        <v>16</v>
      </c>
      <c r="B68" s="9">
        <f t="shared" si="6"/>
        <v>0</v>
      </c>
      <c r="C68" s="9">
        <f t="shared" si="7"/>
        <v>3</v>
      </c>
      <c r="D68" s="3"/>
      <c r="E68" s="3"/>
      <c r="F68" s="3"/>
      <c r="G68" s="3"/>
      <c r="H68" s="6" t="s">
        <v>238</v>
      </c>
      <c r="J68" s="52">
        <f t="shared" ref="J68:AG68" si="8">IF(J64&lt;&gt;"",J64,J60)</f>
        <v>0</v>
      </c>
      <c r="K68" s="52">
        <f t="shared" si="8"/>
        <v>0</v>
      </c>
      <c r="L68" s="52">
        <f t="shared" si="8"/>
        <v>0</v>
      </c>
      <c r="M68" s="52">
        <f t="shared" si="8"/>
        <v>0</v>
      </c>
      <c r="N68" s="52">
        <f t="shared" si="8"/>
        <v>0</v>
      </c>
      <c r="O68" s="52">
        <f t="shared" si="8"/>
        <v>0</v>
      </c>
      <c r="P68" s="52">
        <f t="shared" si="8"/>
        <v>0</v>
      </c>
      <c r="Q68" s="52">
        <f t="shared" si="8"/>
        <v>0</v>
      </c>
      <c r="R68" s="52">
        <f t="shared" si="8"/>
        <v>0</v>
      </c>
      <c r="S68" s="52">
        <f t="shared" si="8"/>
        <v>0</v>
      </c>
      <c r="T68" s="52">
        <f t="shared" si="8"/>
        <v>0</v>
      </c>
      <c r="U68" s="52">
        <f t="shared" si="8"/>
        <v>0</v>
      </c>
      <c r="V68" s="52">
        <f t="shared" si="8"/>
        <v>3</v>
      </c>
      <c r="W68" s="52">
        <f t="shared" si="8"/>
        <v>0</v>
      </c>
      <c r="X68" s="52">
        <f t="shared" si="8"/>
        <v>0</v>
      </c>
      <c r="Y68" s="52">
        <f t="shared" si="8"/>
        <v>0</v>
      </c>
      <c r="Z68" s="52">
        <f t="shared" si="8"/>
        <v>0</v>
      </c>
      <c r="AA68" s="52">
        <f t="shared" si="8"/>
        <v>0</v>
      </c>
      <c r="AB68" s="52">
        <f t="shared" si="8"/>
        <v>0</v>
      </c>
      <c r="AC68" s="52">
        <f t="shared" si="8"/>
        <v>0</v>
      </c>
      <c r="AD68" s="52">
        <f t="shared" si="8"/>
        <v>0</v>
      </c>
      <c r="AE68" s="52">
        <f t="shared" si="8"/>
        <v>0</v>
      </c>
      <c r="AF68" s="52">
        <f t="shared" si="8"/>
        <v>0</v>
      </c>
      <c r="AG68" s="52">
        <f t="shared" si="8"/>
        <v>0</v>
      </c>
    </row>
    <row r="69">
      <c r="A69" s="6" t="s">
        <v>17</v>
      </c>
      <c r="B69" s="9">
        <f t="shared" si="6"/>
        <v>2</v>
      </c>
      <c r="C69" s="9">
        <f t="shared" si="7"/>
        <v>0</v>
      </c>
      <c r="D69" s="3"/>
      <c r="E69" s="3"/>
      <c r="F69" s="3"/>
      <c r="G69" s="3"/>
      <c r="H69" s="6" t="s">
        <v>238</v>
      </c>
      <c r="J69" s="52">
        <f t="shared" ref="J69:AG69" si="9">IF(J65&lt;&gt;"",J65,J61)</f>
        <v>2</v>
      </c>
      <c r="K69" s="52">
        <f t="shared" si="9"/>
        <v>0</v>
      </c>
      <c r="L69" s="52">
        <f t="shared" si="9"/>
        <v>0</v>
      </c>
      <c r="M69" s="52">
        <f t="shared" si="9"/>
        <v>0</v>
      </c>
      <c r="N69" s="52">
        <f t="shared" si="9"/>
        <v>0</v>
      </c>
      <c r="O69" s="52">
        <f t="shared" si="9"/>
        <v>0</v>
      </c>
      <c r="P69" s="52">
        <f t="shared" si="9"/>
        <v>0</v>
      </c>
      <c r="Q69" s="52">
        <f t="shared" si="9"/>
        <v>0</v>
      </c>
      <c r="R69" s="52">
        <f t="shared" si="9"/>
        <v>0</v>
      </c>
      <c r="S69" s="52">
        <f t="shared" si="9"/>
        <v>0</v>
      </c>
      <c r="T69" s="52">
        <f t="shared" si="9"/>
        <v>0</v>
      </c>
      <c r="U69" s="52">
        <f t="shared" si="9"/>
        <v>0</v>
      </c>
      <c r="V69" s="52">
        <f t="shared" si="9"/>
        <v>0</v>
      </c>
      <c r="W69" s="52">
        <f t="shared" si="9"/>
        <v>0</v>
      </c>
      <c r="X69" s="52">
        <f t="shared" si="9"/>
        <v>0</v>
      </c>
      <c r="Y69" s="52">
        <f t="shared" si="9"/>
        <v>0</v>
      </c>
      <c r="Z69" s="52">
        <f t="shared" si="9"/>
        <v>0</v>
      </c>
      <c r="AA69" s="52">
        <f t="shared" si="9"/>
        <v>0</v>
      </c>
      <c r="AB69" s="52">
        <f t="shared" si="9"/>
        <v>0</v>
      </c>
      <c r="AC69" s="52">
        <f t="shared" si="9"/>
        <v>0</v>
      </c>
      <c r="AD69" s="52">
        <f t="shared" si="9"/>
        <v>0</v>
      </c>
      <c r="AE69" s="52">
        <f t="shared" si="9"/>
        <v>0</v>
      </c>
      <c r="AF69" s="52">
        <f t="shared" si="9"/>
        <v>0</v>
      </c>
      <c r="AG69" s="52">
        <f t="shared" si="9"/>
        <v>0</v>
      </c>
    </row>
    <row r="70">
      <c r="A70" s="12" t="s">
        <v>239</v>
      </c>
      <c r="B70" s="53"/>
      <c r="C70" s="53"/>
      <c r="D70" s="50"/>
      <c r="E70" s="50"/>
      <c r="F70" s="50"/>
      <c r="G70" s="50"/>
      <c r="H70" s="50"/>
      <c r="I70" s="51"/>
      <c r="J70" s="54"/>
      <c r="K70" s="54"/>
      <c r="L70" s="54"/>
      <c r="M70" s="54"/>
      <c r="N70" s="54"/>
      <c r="O70" s="54"/>
      <c r="P70" s="54"/>
      <c r="Q70" s="54"/>
      <c r="R70" s="54"/>
      <c r="S70" s="54"/>
      <c r="T70" s="54"/>
      <c r="U70" s="54"/>
      <c r="V70" s="54"/>
      <c r="W70" s="54"/>
      <c r="X70" s="54"/>
      <c r="Y70" s="54"/>
      <c r="Z70" s="54"/>
      <c r="AA70" s="54"/>
      <c r="AB70" s="54"/>
      <c r="AC70" s="54"/>
      <c r="AD70" s="54"/>
      <c r="AE70" s="54"/>
      <c r="AF70" s="54"/>
      <c r="AG70" s="54"/>
    </row>
    <row r="71">
      <c r="A71" s="6" t="s">
        <v>15</v>
      </c>
      <c r="B71" s="9" t="str">
        <f t="shared" ref="B71:B73" si="10">IF(COUNT(J71:U71)=0,"",SUM(J71:U71))</f>
        <v/>
      </c>
      <c r="C71" s="9" t="str">
        <f t="shared" ref="C71:C73" si="11">IF(COUNT(V71:AG71)=0,"",SUM(V71:AG71))</f>
        <v/>
      </c>
      <c r="D71" s="3"/>
      <c r="E71" s="3"/>
      <c r="F71" s="3"/>
      <c r="G71" s="3"/>
      <c r="H71" s="6" t="s">
        <v>240</v>
      </c>
      <c r="J71" s="55"/>
      <c r="K71" s="55"/>
      <c r="L71" s="55"/>
      <c r="M71" s="55"/>
      <c r="N71" s="55"/>
      <c r="O71" s="55"/>
      <c r="P71" s="55"/>
      <c r="Q71" s="55"/>
      <c r="R71" s="55"/>
      <c r="S71" s="55"/>
      <c r="T71" s="55"/>
      <c r="U71" s="55"/>
      <c r="V71" s="55"/>
      <c r="W71" s="55"/>
      <c r="X71" s="55"/>
      <c r="Y71" s="55"/>
      <c r="Z71" s="55"/>
      <c r="AA71" s="55"/>
      <c r="AB71" s="55"/>
      <c r="AC71" s="55"/>
      <c r="AD71" s="55"/>
      <c r="AE71" s="55"/>
      <c r="AF71" s="55"/>
      <c r="AG71" s="55"/>
    </row>
    <row r="72">
      <c r="A72" s="6" t="s">
        <v>16</v>
      </c>
      <c r="B72" s="9" t="str">
        <f t="shared" si="10"/>
        <v/>
      </c>
      <c r="C72" s="9" t="str">
        <f t="shared" si="11"/>
        <v/>
      </c>
      <c r="D72" s="3"/>
      <c r="E72" s="3"/>
      <c r="F72" s="3"/>
      <c r="G72" s="3"/>
      <c r="H72" s="6" t="s">
        <v>240</v>
      </c>
      <c r="J72" s="55"/>
      <c r="K72" s="55"/>
      <c r="L72" s="55"/>
      <c r="M72" s="55"/>
      <c r="N72" s="55"/>
      <c r="O72" s="55"/>
      <c r="P72" s="55"/>
      <c r="Q72" s="55"/>
      <c r="R72" s="55"/>
      <c r="S72" s="55"/>
      <c r="T72" s="55"/>
      <c r="U72" s="55"/>
      <c r="V72" s="55"/>
      <c r="W72" s="55"/>
      <c r="X72" s="55"/>
      <c r="Y72" s="55"/>
      <c r="Z72" s="55"/>
      <c r="AA72" s="55"/>
      <c r="AB72" s="55"/>
      <c r="AC72" s="55"/>
      <c r="AD72" s="55"/>
      <c r="AE72" s="55"/>
      <c r="AF72" s="55"/>
      <c r="AG72" s="55"/>
    </row>
    <row r="73">
      <c r="A73" s="6" t="s">
        <v>17</v>
      </c>
      <c r="B73" s="9" t="str">
        <f t="shared" si="10"/>
        <v/>
      </c>
      <c r="C73" s="9" t="str">
        <f t="shared" si="11"/>
        <v/>
      </c>
      <c r="D73" s="3"/>
      <c r="E73" s="3"/>
      <c r="F73" s="3"/>
      <c r="G73" s="3"/>
      <c r="H73" s="6" t="s">
        <v>240</v>
      </c>
      <c r="J73" s="55"/>
      <c r="K73" s="55"/>
      <c r="L73" s="55"/>
      <c r="M73" s="55"/>
      <c r="N73" s="55"/>
      <c r="O73" s="55"/>
      <c r="P73" s="55"/>
      <c r="Q73" s="55"/>
      <c r="R73" s="55"/>
      <c r="S73" s="55"/>
      <c r="T73" s="55"/>
      <c r="U73" s="55"/>
      <c r="V73" s="55"/>
      <c r="W73" s="55"/>
      <c r="X73" s="55"/>
      <c r="Y73" s="55"/>
      <c r="Z73" s="55"/>
      <c r="AA73" s="55"/>
      <c r="AB73" s="55"/>
      <c r="AC73" s="55"/>
      <c r="AD73" s="55"/>
      <c r="AE73" s="55"/>
      <c r="AF73" s="55"/>
      <c r="AG73" s="55"/>
    </row>
  </sheetData>
  <mergeCells count="101">
    <mergeCell ref="J35:L35"/>
    <mergeCell ref="J36:L36"/>
    <mergeCell ref="J37:L37"/>
    <mergeCell ref="J38:L38"/>
    <mergeCell ref="J39:L39"/>
    <mergeCell ref="O33:P33"/>
    <mergeCell ref="O34:P34"/>
    <mergeCell ref="O35:P35"/>
    <mergeCell ref="O36:P36"/>
    <mergeCell ref="O37:P37"/>
    <mergeCell ref="O38:P38"/>
    <mergeCell ref="O39:P39"/>
    <mergeCell ref="M28:N28"/>
    <mergeCell ref="M29:N29"/>
    <mergeCell ref="M30:N30"/>
    <mergeCell ref="O28:P28"/>
    <mergeCell ref="O29:P29"/>
    <mergeCell ref="O30:P30"/>
    <mergeCell ref="J28:L28"/>
    <mergeCell ref="J29:L29"/>
    <mergeCell ref="J30:L30"/>
    <mergeCell ref="J31:L31"/>
    <mergeCell ref="J32:L32"/>
    <mergeCell ref="J33:L33"/>
    <mergeCell ref="J34:L34"/>
    <mergeCell ref="J12:L12"/>
    <mergeCell ref="J13:L13"/>
    <mergeCell ref="M9:N9"/>
    <mergeCell ref="M10:N10"/>
    <mergeCell ref="M11:N11"/>
    <mergeCell ref="M12:N12"/>
    <mergeCell ref="M13:N13"/>
    <mergeCell ref="M8:N8"/>
    <mergeCell ref="O8:P8"/>
    <mergeCell ref="O9:P9"/>
    <mergeCell ref="O10:P10"/>
    <mergeCell ref="O11:P11"/>
    <mergeCell ref="O12:P12"/>
    <mergeCell ref="O13:P13"/>
    <mergeCell ref="O23:P23"/>
    <mergeCell ref="O24:P24"/>
    <mergeCell ref="O25:P25"/>
    <mergeCell ref="O26:P26"/>
    <mergeCell ref="O27:P27"/>
    <mergeCell ref="O14:P14"/>
    <mergeCell ref="O15:P15"/>
    <mergeCell ref="O16:P16"/>
    <mergeCell ref="O17:P17"/>
    <mergeCell ref="O18:P18"/>
    <mergeCell ref="O21:P21"/>
    <mergeCell ref="O22:P22"/>
    <mergeCell ref="Q28:R28"/>
    <mergeCell ref="Q29:R29"/>
    <mergeCell ref="Q30:R30"/>
    <mergeCell ref="Q21:R21"/>
    <mergeCell ref="Q22:R22"/>
    <mergeCell ref="Q23:R23"/>
    <mergeCell ref="Q24:R24"/>
    <mergeCell ref="Q25:R25"/>
    <mergeCell ref="Q26:R26"/>
    <mergeCell ref="Q27:R27"/>
    <mergeCell ref="J14:L14"/>
    <mergeCell ref="J15:L15"/>
    <mergeCell ref="M14:N14"/>
    <mergeCell ref="M15:N15"/>
    <mergeCell ref="J16:L16"/>
    <mergeCell ref="J17:L17"/>
    <mergeCell ref="M16:N16"/>
    <mergeCell ref="M17:N17"/>
    <mergeCell ref="B22:D22"/>
    <mergeCell ref="E22:G22"/>
    <mergeCell ref="J7:L7"/>
    <mergeCell ref="J8:L8"/>
    <mergeCell ref="J9:L9"/>
    <mergeCell ref="J10:L10"/>
    <mergeCell ref="J11:L11"/>
    <mergeCell ref="J22:L22"/>
    <mergeCell ref="J20:L20"/>
    <mergeCell ref="J21:L21"/>
    <mergeCell ref="J23:L23"/>
    <mergeCell ref="J24:L24"/>
    <mergeCell ref="J25:L25"/>
    <mergeCell ref="J26:L26"/>
    <mergeCell ref="J27:L27"/>
    <mergeCell ref="M33:N33"/>
    <mergeCell ref="M34:N34"/>
    <mergeCell ref="M35:N35"/>
    <mergeCell ref="M36:N36"/>
    <mergeCell ref="M37:N37"/>
    <mergeCell ref="M38:N38"/>
    <mergeCell ref="M39:N39"/>
    <mergeCell ref="M25:N25"/>
    <mergeCell ref="M26:N26"/>
    <mergeCell ref="M27:N27"/>
    <mergeCell ref="J18:L18"/>
    <mergeCell ref="J19:L19"/>
    <mergeCell ref="M18:N18"/>
    <mergeCell ref="M21:N21"/>
    <mergeCell ref="M22:N22"/>
    <mergeCell ref="M23:N23"/>
    <mergeCell ref="M24:N24"/>
  </mergeCells>
  <conditionalFormatting sqref="M23:R24">
    <cfRule type="cellIs" dxfId="0" priority="1" stopIfTrue="1" operator="greaterThan">
      <formula>0</formula>
    </cfRule>
  </conditionalFormatting>
  <conditionalFormatting sqref="M25:R28">
    <cfRule type="cellIs" dxfId="0" priority="2" stopIfTrue="1" operator="lessThan">
      <formula>-0.5</formula>
    </cfRule>
  </conditionalFormatting>
  <conditionalFormatting sqref="M12:P12">
    <cfRule type="cellIs" dxfId="0" priority="3" stopIfTrue="1" operator="lessThan">
      <formula>-0.5</formula>
    </cfRule>
  </conditionalFormatting>
  <conditionalFormatting sqref="B21">
    <cfRule type="expression" dxfId="0" priority="4" stopIfTrue="1">
      <formula>ROUND(B21,4)&lt;&gt;1</formula>
    </cfRule>
  </conditionalFormatting>
  <conditionalFormatting sqref="B19">
    <cfRule type="expression" dxfId="0" priority="5" stopIfTrue="1">
      <formula>ROUND(B19,4)&lt;&gt;1</formula>
    </cfRule>
  </conditionalFormatting>
  <conditionalFormatting sqref="E24:G24">
    <cfRule type="expression" dxfId="0" priority="6" stopIfTrue="1">
      <formula>E24&lt;&gt;B24</formula>
    </cfRule>
  </conditionalFormatting>
  <conditionalFormatting sqref="E25:G25">
    <cfRule type="expression" dxfId="0" priority="7" stopIfTrue="1">
      <formula>E25&lt;&gt;B25</formula>
    </cfRule>
  </conditionalFormatting>
  <conditionalFormatting sqref="E26:G26">
    <cfRule type="expression" dxfId="0" priority="8" stopIfTrue="1">
      <formula>E26&lt;&gt;B26</formula>
    </cfRule>
  </conditionalFormatting>
  <conditionalFormatting sqref="E27:G27">
    <cfRule type="expression" dxfId="0" priority="9" stopIfTrue="1">
      <formula>E27&lt;&gt;B27</formula>
    </cfRule>
  </conditionalFormatting>
  <conditionalFormatting sqref="E30:G30">
    <cfRule type="expression" dxfId="0" priority="10" stopIfTrue="1">
      <formula>E30&lt;&gt;B30</formula>
    </cfRule>
  </conditionalFormatting>
  <conditionalFormatting sqref="E32:G32">
    <cfRule type="expression" dxfId="0" priority="11" stopIfTrue="1">
      <formula>E32&lt;&gt;B32</formula>
    </cfRule>
  </conditionalFormatting>
  <conditionalFormatting sqref="E33:G33">
    <cfRule type="expression" dxfId="0" priority="12" stopIfTrue="1">
      <formula>E33&lt;&gt;B33</formula>
    </cfRule>
  </conditionalFormatting>
  <conditionalFormatting sqref="E34:G34">
    <cfRule type="expression" dxfId="0" priority="13" stopIfTrue="1">
      <formula>E34&lt;&gt;B34</formula>
    </cfRule>
  </conditionalFormatting>
  <conditionalFormatting sqref="E35:G35">
    <cfRule type="expression" dxfId="0" priority="14" stopIfTrue="1">
      <formula>E35&lt;&gt;B35</formula>
    </cfRule>
  </conditionalFormatting>
  <conditionalFormatting sqref="E36:G36">
    <cfRule type="expression" dxfId="0" priority="15" stopIfTrue="1">
      <formula>E36&lt;&gt;B36</formula>
    </cfRule>
  </conditionalFormatting>
  <conditionalFormatting sqref="E37:G37">
    <cfRule type="expression" dxfId="0" priority="16" stopIfTrue="1">
      <formula>E37&lt;&gt;B37</formula>
    </cfRule>
  </conditionalFormatting>
  <conditionalFormatting sqref="E38:G38">
    <cfRule type="expression" dxfId="0" priority="17" stopIfTrue="1">
      <formula>E38&lt;&gt;B38</formula>
    </cfRule>
  </conditionalFormatting>
  <conditionalFormatting sqref="E39:G39">
    <cfRule type="expression" dxfId="0" priority="18" stopIfTrue="1">
      <formula>E39&lt;&gt;B39</formula>
    </cfRule>
  </conditionalFormatting>
  <conditionalFormatting sqref="E49:G49">
    <cfRule type="expression" dxfId="0" priority="19" stopIfTrue="1">
      <formula>E49&lt;&gt;B49</formula>
    </cfRule>
  </conditionalFormatting>
  <dataValidations>
    <dataValidation type="decimal" operator="greaterThanOrEqual" allowBlank="1" showDropDown="1" showInputMessage="1" showErrorMessage="1" prompt="Enter a target of $0 or more." sqref="B9:B10">
      <formula1>0.0</formula1>
    </dataValidation>
    <dataValidation type="decimal" operator="greaterThanOrEqual" allowBlank="1" showDropDown="1" showInputMessage="1" showErrorMessage="1" prompt="Enter 0 or more leads per month." sqref="E43:G44">
      <formula1>0.0</formula1>
    </dataValidation>
    <dataValidation type="decimal" allowBlank="1" showDropDown="1" showInputMessage="1" showErrorMessage="1" prompt="Enter a conversion rate between 1% and 100%." sqref="B38:G39">
      <formula1>0.01</formula1>
      <formula2>1.0</formula2>
    </dataValidation>
    <dataValidation type="decimal" operator="greaterThanOrEqual" allowBlank="1" showDropDown="1" showInputMessage="1" showErrorMessage="1" prompt="Enter starting ARR above $0." sqref="B8">
      <formula1>1.0</formula1>
    </dataValidation>
    <dataValidation type="list" allowBlank="1" showErrorMessage="1" sqref="B11">
      <formula1>"Paced to plan,Flat commit"</formula1>
    </dataValidation>
    <dataValidation type="custom" allowBlank="1" showDropDown="1" showInputMessage="1" showErrorMessage="1" prompt="Enter a whole number of starts from 0 to 20, or leave blank." sqref="J63:AG65">
      <formula1>AND(ISNUMBER(J63),J63=INT(J63),J63&gt;=0,J63&lt;=20)</formula1>
    </dataValidation>
    <dataValidation type="decimal" operator="greaterThanOrEqual" allowBlank="1" showDropDown="1" showInputMessage="1" showErrorMessage="1" prompt="Enter 0 or more leads, or leave blank." sqref="J71:AG73">
      <formula1>0.0</formula1>
    </dataValidation>
    <dataValidation type="decimal" allowBlank="1" showDropDown="1" showInputMessage="1" showErrorMessage="1" prompt="Enter a coverage multiple between 0.0x and 5.0x." sqref="E40:G40">
      <formula1>0.0</formula1>
      <formula2>5.0</formula2>
    </dataValidation>
    <dataValidation type="decimal" allowBlank="1" showDropDown="1" showInputMessage="1" showErrorMessage="1" prompt="Enter hours on open opportunities per month between 1 and 200." sqref="B26:G26">
      <formula1>1.0</formula1>
      <formula2>200.0</formula2>
    </dataValidation>
    <dataValidation type="decimal" operator="greaterThanOrEqual" allowBlank="1" showDropDown="1" showInputMessage="1" showErrorMessage="1" prompt="Enter a deal size of at least $100." sqref="B25:G25">
      <formula1>100.0</formula1>
    </dataValidation>
    <dataValidation type="custom" allowBlank="1" showDropDown="1" showInputMessage="1" showErrorMessage="1" prompt="Enter a whole number of reps from 0 to 100." sqref="B31:D31">
      <formula1>AND(ISNUMBER(B31),B31=INT(B31),B31&gt;=0,B31&lt;=100)</formula1>
    </dataValidation>
    <dataValidation type="custom" allowBlank="1" showDropDown="1" showInputMessage="1" showErrorMessage="1" prompt="Enter whole months from 0 to 12." sqref="B30:G30 B32:G32">
      <formula1>AND(ISNUMBER(B30),B30=INT(B30),B30&gt;=0,B30&lt;=12)</formula1>
    </dataValidation>
    <dataValidation type="custom" allowBlank="1" showDropDown="1" showInputMessage="1" showErrorMessage="1" prompt="Enter a class size from 0 to 20." sqref="B14:D14">
      <formula1>AND(ISNUMBER(B14),B14=INT(B14),B14&gt;=0,B14&lt;=20)</formula1>
    </dataValidation>
    <dataValidation type="custom" allowBlank="1" showDropDown="1" showInputMessage="1" showErrorMessage="1" prompt="Enter a month from 1 to 12." sqref="B16">
      <formula1>AND(ISNUMBER(B16),B16=INT(B16),B16&gt;=1,B16&lt;=12)</formula1>
    </dataValidation>
    <dataValidation type="decimal" allowBlank="1" showDropDown="1" showInputMessage="1" showErrorMessage="1" prompt="Enter annual expansion between 0% and 200%." sqref="B37:G37">
      <formula1>0.0</formula1>
      <formula2>2.0</formula2>
    </dataValidation>
    <dataValidation type="decimal" allowBlank="1" showDropDown="1" showInputMessage="1" showErrorMessage="1" prompt="Enter expected attainment between 10% and 150%." sqref="B28:D28">
      <formula1>0.1</formula1>
      <formula2>1.5</formula2>
    </dataValidation>
    <dataValidation type="decimal" allowBlank="1" showDropDown="1" showInputMessage="1" showErrorMessage="1" prompt="Enter gross margin between 1% and 100%." sqref="B53">
      <formula1>0.01</formula1>
      <formula2>1.0</formula2>
    </dataValidation>
    <dataValidation type="custom" allowBlank="1" showDropDown="1" showInputMessage="1" showErrorMessage="1" prompt="Enter whole months from 1 to 12." sqref="B15">
      <formula1>AND(ISNUMBER(B15),B15=INT(B15),B15&gt;=1,B15&lt;=12)</formula1>
    </dataValidation>
    <dataValidation type="decimal" allowBlank="1" showDropDown="1" showInputMessage="1" showErrorMessage="1" prompt="Enter a tolerance between 1.0x and 5.0x." sqref="B13">
      <formula1>1.0</formula1>
      <formula2>5.0</formula2>
    </dataValidation>
    <dataValidation type="decimal" allowBlank="1" showDropDown="1" showInputMessage="1" showErrorMessage="1" prompt="Enter overhead between 0% and 300% of AE pay." sqref="B51">
      <formula1>0.0</formula1>
      <formula2>3.0</formula2>
    </dataValidation>
    <dataValidation type="decimal" allowBlank="1" showDropDown="1" showInputMessage="1" showErrorMessage="1" prompt="Enter a buffer between 0.1x and 5.0x." sqref="B12">
      <formula1>0.1</formula1>
      <formula2>5.0</formula2>
    </dataValidation>
    <dataValidation type="decimal" operator="greaterThanOrEqual" allowBlank="1" showDropDown="1" showInputMessage="1" showErrorMessage="1" prompt="Enter annual OTE of at least $1,000." sqref="B29:D29">
      <formula1>1000.0</formula1>
    </dataValidation>
    <dataValidation type="decimal" operator="greaterThanOrEqual" allowBlank="1" showDropDown="1" showInputMessage="1" showErrorMessage="1" prompt="Enter a cost per lead of $0 or more." sqref="B49:G49">
      <formula1>0.0</formula1>
    </dataValidation>
    <dataValidation type="decimal" allowBlank="1" showDropDown="1" showInputMessage="1" showErrorMessage="1" prompt="Enter a percentage between 0% and 100%." sqref="B18:D18 B20:D20 B33:G36 E42:G42 B48:D48">
      <formula1>0.0</formula1>
      <formula2>1.0</formula2>
    </dataValidation>
    <dataValidation type="decimal" allowBlank="1" showDropDown="1" showInputMessage="1" showErrorMessage="1" prompt="Enter a win rate between 1% and 100%." sqref="B24:G24">
      <formula1>0.01</formula1>
      <formula2>1.0</formula2>
    </dataValidation>
    <dataValidation type="decimal" allowBlank="1" showDropDown="1" showInputMessage="1" showErrorMessage="1" prompt="Enter hours per opportunity between 0.1 and 500." sqref="B27:G27">
      <formula1>0.1</formula1>
      <formula2>500.0</formula2>
    </dataValidation>
    <dataValidation type="decimal" allowBlank="1" showDropDown="1" showInputMessage="1" showErrorMessage="1" prompt="Enter a factor between 1.0x and 3.0x." sqref="B50">
      <formula1>1.0</formula1>
      <formula2>3.0</formula2>
    </dataValidation>
    <dataValidation type="decimal" operator="greaterThanOrEqual" allowBlank="1" showDropDown="1" showInputMessage="1" showErrorMessage="1" prompt="Enter $0 or more." sqref="B52">
      <formula1>0.0</formula1>
    </dataValidation>
  </dataValidation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1" max="1" width="48.71"/>
    <col customWidth="1" min="2" max="4" width="17.29"/>
    <col customWidth="1" min="5" max="5" width="74.43"/>
  </cols>
  <sheetData>
    <row r="1">
      <c r="A1" s="1" t="s">
        <v>241</v>
      </c>
    </row>
    <row r="2">
      <c r="A2" s="13" t="s">
        <v>242</v>
      </c>
    </row>
    <row r="3">
      <c r="A3" s="13" t="s">
        <v>243</v>
      </c>
    </row>
    <row r="4">
      <c r="A4" s="8"/>
      <c r="B4" s="5" t="s">
        <v>15</v>
      </c>
      <c r="C4" s="5" t="s">
        <v>16</v>
      </c>
      <c r="D4" s="5" t="s">
        <v>17</v>
      </c>
      <c r="E4" s="4" t="s">
        <v>115</v>
      </c>
    </row>
    <row r="5">
      <c r="A5" s="4" t="s">
        <v>244</v>
      </c>
      <c r="B5" s="8"/>
      <c r="C5" s="8"/>
      <c r="D5" s="8"/>
      <c r="E5" s="8"/>
    </row>
    <row r="6">
      <c r="A6" s="6" t="s">
        <v>245</v>
      </c>
      <c r="B6" s="9">
        <f>Inputs!B$26</f>
        <v>60</v>
      </c>
      <c r="C6" s="9">
        <f>Inputs!C$26</f>
        <v>60</v>
      </c>
      <c r="D6" s="9">
        <f>Inputs!D$26</f>
        <v>60</v>
      </c>
      <c r="E6" s="6" t="s">
        <v>246</v>
      </c>
    </row>
    <row r="7">
      <c r="A7" s="6" t="s">
        <v>247</v>
      </c>
      <c r="B7" s="11">
        <f>Inputs!B$27</f>
        <v>2.5</v>
      </c>
      <c r="C7" s="11">
        <f>Inputs!C$27</f>
        <v>7.5</v>
      </c>
      <c r="D7" s="11">
        <f>Inputs!D$27</f>
        <v>24</v>
      </c>
      <c r="E7" s="6" t="s">
        <v>246</v>
      </c>
    </row>
    <row r="8">
      <c r="A8" s="6" t="s">
        <v>248</v>
      </c>
      <c r="B8" s="11">
        <f t="shared" ref="B8:D8" si="1">IF(B7=0,0,B6/B7)</f>
        <v>24</v>
      </c>
      <c r="C8" s="11">
        <f t="shared" si="1"/>
        <v>8</v>
      </c>
      <c r="D8" s="11">
        <f t="shared" si="1"/>
        <v>2.5</v>
      </c>
      <c r="E8" s="6" t="s">
        <v>249</v>
      </c>
    </row>
    <row r="9">
      <c r="A9" s="6" t="s">
        <v>250</v>
      </c>
      <c r="B9" s="26">
        <f>Inputs!B$24</f>
        <v>0.3</v>
      </c>
      <c r="C9" s="26">
        <f>Inputs!C$24</f>
        <v>0.25</v>
      </c>
      <c r="D9" s="26">
        <f>Inputs!D$24</f>
        <v>0.2</v>
      </c>
      <c r="E9" s="6" t="s">
        <v>246</v>
      </c>
    </row>
    <row r="10">
      <c r="A10" s="6" t="s">
        <v>251</v>
      </c>
      <c r="B10" s="7">
        <f>Inputs!B$25</f>
        <v>4800</v>
      </c>
      <c r="C10" s="7">
        <f>Inputs!C$25</f>
        <v>24000</v>
      </c>
      <c r="D10" s="7">
        <f>Inputs!D$25</f>
        <v>150000</v>
      </c>
      <c r="E10" s="6" t="s">
        <v>246</v>
      </c>
    </row>
    <row r="11">
      <c r="A11" s="6" t="s">
        <v>252</v>
      </c>
      <c r="B11" s="7">
        <f t="shared" ref="B11:D11" si="2">B8*B9*B10</f>
        <v>34560</v>
      </c>
      <c r="C11" s="7">
        <f t="shared" si="2"/>
        <v>48000</v>
      </c>
      <c r="D11" s="7">
        <f t="shared" si="2"/>
        <v>75000</v>
      </c>
      <c r="E11" s="6" t="s">
        <v>253</v>
      </c>
    </row>
    <row r="12">
      <c r="A12" s="6" t="s">
        <v>173</v>
      </c>
      <c r="B12" s="26">
        <f>Inputs!B$28</f>
        <v>0.85</v>
      </c>
      <c r="C12" s="26">
        <f>Inputs!C$28</f>
        <v>0.8</v>
      </c>
      <c r="D12" s="26">
        <f>Inputs!D$28</f>
        <v>0.75</v>
      </c>
      <c r="E12" s="6" t="s">
        <v>246</v>
      </c>
    </row>
    <row r="13">
      <c r="A13" s="12" t="s">
        <v>254</v>
      </c>
      <c r="B13" s="19">
        <f t="shared" ref="B13:D13" si="3">IF(B12=0,0,B11/B12)</f>
        <v>40658.82353</v>
      </c>
      <c r="C13" s="19">
        <f t="shared" si="3"/>
        <v>60000</v>
      </c>
      <c r="D13" s="19">
        <f t="shared" si="3"/>
        <v>100000</v>
      </c>
      <c r="E13" s="12" t="s">
        <v>255</v>
      </c>
    </row>
    <row r="14">
      <c r="A14" s="12" t="s">
        <v>256</v>
      </c>
      <c r="B14" s="19">
        <f t="shared" ref="B14:D14" si="4">B13*12</f>
        <v>487905.8824</v>
      </c>
      <c r="C14" s="19">
        <f t="shared" si="4"/>
        <v>720000</v>
      </c>
      <c r="D14" s="19">
        <f t="shared" si="4"/>
        <v>1200000</v>
      </c>
      <c r="E14" s="12" t="s">
        <v>257</v>
      </c>
    </row>
    <row r="15">
      <c r="A15" s="6" t="s">
        <v>175</v>
      </c>
      <c r="B15" s="7">
        <f>Inputs!B$29</f>
        <v>115000</v>
      </c>
      <c r="C15" s="7">
        <f>Inputs!C$29</f>
        <v>160000</v>
      </c>
      <c r="D15" s="7">
        <f>Inputs!D$29</f>
        <v>280000</v>
      </c>
      <c r="E15" s="6" t="s">
        <v>258</v>
      </c>
    </row>
    <row r="16">
      <c r="A16" s="6" t="s">
        <v>259</v>
      </c>
      <c r="B16" s="56">
        <f t="shared" ref="B16:D16" si="5">IF(B15=0,0,B14/B15)</f>
        <v>4.242659847</v>
      </c>
      <c r="C16" s="56">
        <f t="shared" si="5"/>
        <v>4.5</v>
      </c>
      <c r="D16" s="56">
        <f t="shared" si="5"/>
        <v>4.285714286</v>
      </c>
      <c r="E16" s="6" t="s">
        <v>260</v>
      </c>
    </row>
    <row r="17">
      <c r="A17" s="6" t="s">
        <v>261</v>
      </c>
      <c r="B17" s="57" t="str">
        <f t="shared" ref="B17:D17" si="6">IF(AND(B16&gt;=4,B16&lt;=6),"OK","check inputs")</f>
        <v>OK</v>
      </c>
      <c r="C17" s="57" t="str">
        <f t="shared" si="6"/>
        <v>OK</v>
      </c>
      <c r="D17" s="57" t="str">
        <f t="shared" si="6"/>
        <v>OK</v>
      </c>
      <c r="E17" s="6" t="s">
        <v>262</v>
      </c>
    </row>
    <row r="18">
      <c r="A18" s="6" t="s">
        <v>263</v>
      </c>
      <c r="B18" s="58">
        <f t="shared" ref="B18:D18" si="7">IF(B12=0,0,1/B12)</f>
        <v>1.176470588</v>
      </c>
      <c r="C18" s="58">
        <f t="shared" si="7"/>
        <v>1.25</v>
      </c>
      <c r="D18" s="58">
        <f t="shared" si="7"/>
        <v>1.333333333</v>
      </c>
      <c r="E18" s="6" t="s">
        <v>264</v>
      </c>
    </row>
    <row r="19">
      <c r="A19" s="4" t="s">
        <v>265</v>
      </c>
      <c r="B19" s="8"/>
      <c r="C19" s="8"/>
      <c r="D19" s="8"/>
      <c r="E19" s="8"/>
    </row>
    <row r="20">
      <c r="A20" s="6" t="s">
        <v>218</v>
      </c>
      <c r="B20" s="26">
        <f>Inputs!B$48</f>
        <v>0.5</v>
      </c>
      <c r="C20" s="26">
        <f>Inputs!C$48</f>
        <v>0.5</v>
      </c>
      <c r="D20" s="26">
        <f>Inputs!D$48</f>
        <v>0.5</v>
      </c>
      <c r="E20" s="6" t="s">
        <v>258</v>
      </c>
    </row>
    <row r="21">
      <c r="A21" s="6" t="s">
        <v>266</v>
      </c>
      <c r="B21" s="7">
        <f t="shared" ref="B21:D21" si="8">B15*(1-B20)</f>
        <v>57500</v>
      </c>
      <c r="C21" s="7">
        <f t="shared" si="8"/>
        <v>80000</v>
      </c>
      <c r="D21" s="7">
        <f t="shared" si="8"/>
        <v>140000</v>
      </c>
      <c r="E21" s="6" t="s">
        <v>267</v>
      </c>
    </row>
    <row r="22">
      <c r="A22" s="6" t="s">
        <v>268</v>
      </c>
      <c r="B22" s="7">
        <f t="shared" ref="B22:D22" si="9">B15*B20</f>
        <v>57500</v>
      </c>
      <c r="C22" s="7">
        <f t="shared" si="9"/>
        <v>80000</v>
      </c>
      <c r="D22" s="7">
        <f t="shared" si="9"/>
        <v>140000</v>
      </c>
      <c r="E22" s="6" t="s">
        <v>269</v>
      </c>
    </row>
    <row r="23">
      <c r="A23" s="12" t="s">
        <v>270</v>
      </c>
      <c r="B23" s="59">
        <f t="shared" ref="B23:D23" si="10">IF(B14=0,0,B22/B14)</f>
        <v>0.117850598</v>
      </c>
      <c r="C23" s="59">
        <f t="shared" si="10"/>
        <v>0.1111111111</v>
      </c>
      <c r="D23" s="59">
        <f t="shared" si="10"/>
        <v>0.1166666667</v>
      </c>
      <c r="E23" s="12" t="s">
        <v>271</v>
      </c>
    </row>
    <row r="24">
      <c r="A24" s="6" t="s">
        <v>272</v>
      </c>
      <c r="B24" s="7">
        <f>B21*Inputs!$B$50/12</f>
        <v>5989.583333</v>
      </c>
      <c r="C24" s="7">
        <f>C21*Inputs!$B$50/12</f>
        <v>8333.333333</v>
      </c>
      <c r="D24" s="7">
        <f>D21*Inputs!$B$50/12</f>
        <v>14583.33333</v>
      </c>
      <c r="E24" s="6" t="s">
        <v>273</v>
      </c>
    </row>
    <row r="25">
      <c r="A25" s="4" t="s">
        <v>274</v>
      </c>
      <c r="B25" s="8"/>
      <c r="C25" s="8"/>
      <c r="D25" s="8"/>
      <c r="E25" s="8"/>
    </row>
    <row r="26">
      <c r="A26" s="6" t="s">
        <v>275</v>
      </c>
      <c r="B26" s="60">
        <f>Inputs!$E$26</f>
        <v>60</v>
      </c>
      <c r="C26" s="60">
        <f>Inputs!$F$26</f>
        <v>60</v>
      </c>
      <c r="D26" s="60">
        <f>Inputs!$G$26</f>
        <v>60</v>
      </c>
      <c r="E26" s="6" t="s">
        <v>276</v>
      </c>
    </row>
    <row r="27">
      <c r="A27" s="6" t="s">
        <v>277</v>
      </c>
      <c r="B27" s="61">
        <f>Inputs!$E$27</f>
        <v>2.5</v>
      </c>
      <c r="C27" s="61">
        <f>Inputs!$F$27</f>
        <v>7.5</v>
      </c>
      <c r="D27" s="61">
        <f>Inputs!$G$27</f>
        <v>24</v>
      </c>
      <c r="E27" s="6" t="s">
        <v>276</v>
      </c>
    </row>
    <row r="28">
      <c r="A28" s="6" t="s">
        <v>278</v>
      </c>
      <c r="B28" s="61">
        <f t="shared" ref="B28:D28" si="11">IF(B27=0,0,B26/B27)</f>
        <v>24</v>
      </c>
      <c r="C28" s="61">
        <f t="shared" si="11"/>
        <v>8</v>
      </c>
      <c r="D28" s="61">
        <f t="shared" si="11"/>
        <v>2.5</v>
      </c>
      <c r="E28" s="6" t="s">
        <v>279</v>
      </c>
    </row>
    <row r="29">
      <c r="A29" s="6" t="s">
        <v>280</v>
      </c>
      <c r="B29" s="62">
        <f>Inputs!$E$24</f>
        <v>0.3</v>
      </c>
      <c r="C29" s="62">
        <f>Inputs!$F$24</f>
        <v>0.25</v>
      </c>
      <c r="D29" s="62">
        <f>Inputs!$G$24</f>
        <v>0.2</v>
      </c>
      <c r="E29" s="6" t="s">
        <v>276</v>
      </c>
    </row>
    <row r="30">
      <c r="A30" s="6" t="s">
        <v>281</v>
      </c>
      <c r="B30" s="63">
        <f>Inputs!$E$25</f>
        <v>4800</v>
      </c>
      <c r="C30" s="63">
        <f>Inputs!$F$25</f>
        <v>24000</v>
      </c>
      <c r="D30" s="63">
        <f>Inputs!$G$25</f>
        <v>150000</v>
      </c>
      <c r="E30" s="6" t="s">
        <v>276</v>
      </c>
    </row>
    <row r="31">
      <c r="A31" s="6" t="s">
        <v>282</v>
      </c>
      <c r="B31" s="63">
        <f t="shared" ref="B31:D31" si="12">B28*B29*B30</f>
        <v>34560</v>
      </c>
      <c r="C31" s="63">
        <f t="shared" si="12"/>
        <v>48000</v>
      </c>
      <c r="D31" s="63">
        <f t="shared" si="12"/>
        <v>75000</v>
      </c>
      <c r="E31" s="6" t="s">
        <v>283</v>
      </c>
    </row>
    <row r="32">
      <c r="A32" s="12" t="s">
        <v>160</v>
      </c>
      <c r="B32" s="64">
        <f t="shared" ref="B32:D32" si="13">IF(B13=0,0,B31/B13)</f>
        <v>0.85</v>
      </c>
      <c r="C32" s="64">
        <f t="shared" si="13"/>
        <v>0.8</v>
      </c>
      <c r="D32" s="64">
        <f t="shared" si="13"/>
        <v>0.75</v>
      </c>
      <c r="E32" s="12" t="s">
        <v>284</v>
      </c>
    </row>
    <row r="33">
      <c r="A33" s="6" t="s">
        <v>285</v>
      </c>
      <c r="B33" s="60">
        <f>Inputs!$E$30</f>
        <v>1</v>
      </c>
      <c r="C33" s="60">
        <f>Inputs!$F$30</f>
        <v>3</v>
      </c>
      <c r="D33" s="60">
        <f>Inputs!$G$30</f>
        <v>6</v>
      </c>
      <c r="E33" s="6" t="s">
        <v>276</v>
      </c>
    </row>
    <row r="34">
      <c r="A34" s="6" t="s">
        <v>286</v>
      </c>
      <c r="B34" s="61">
        <f t="shared" ref="B34:D34" si="14">B28*B33</f>
        <v>24</v>
      </c>
      <c r="C34" s="61">
        <f t="shared" si="14"/>
        <v>24</v>
      </c>
      <c r="D34" s="61">
        <f t="shared" si="14"/>
        <v>15</v>
      </c>
      <c r="E34" s="6" t="s">
        <v>287</v>
      </c>
    </row>
    <row r="35">
      <c r="A35" s="6" t="s">
        <v>288</v>
      </c>
      <c r="B35" s="65">
        <f t="shared" ref="B35:D35" si="15">IF(B29=0,0,1/B29)</f>
        <v>3.333333333</v>
      </c>
      <c r="C35" s="65">
        <f t="shared" si="15"/>
        <v>4</v>
      </c>
      <c r="D35" s="65">
        <f t="shared" si="15"/>
        <v>5</v>
      </c>
      <c r="E35" s="6" t="s">
        <v>289</v>
      </c>
    </row>
    <row r="36">
      <c r="A36" s="6" t="s">
        <v>131</v>
      </c>
      <c r="B36" s="65">
        <f>Inputs!$B$12</f>
        <v>1</v>
      </c>
      <c r="C36" s="65">
        <f>Inputs!$B$12</f>
        <v>1</v>
      </c>
      <c r="D36" s="65">
        <f>Inputs!$B$12</f>
        <v>1</v>
      </c>
      <c r="E36" s="6" t="s">
        <v>290</v>
      </c>
    </row>
    <row r="37">
      <c r="A37" s="12" t="s">
        <v>291</v>
      </c>
      <c r="B37" s="66">
        <f t="shared" ref="B37:D37" si="16">B35*B36</f>
        <v>3.333333333</v>
      </c>
      <c r="C37" s="66">
        <f t="shared" si="16"/>
        <v>4</v>
      </c>
      <c r="D37" s="66">
        <f t="shared" si="16"/>
        <v>5</v>
      </c>
      <c r="E37" s="12" t="s">
        <v>292</v>
      </c>
    </row>
  </sheetData>
  <conditionalFormatting sqref="B17:D17">
    <cfRule type="cellIs" dxfId="0" priority="1" stopIfTrue="1" operator="equal">
      <formula>"check inputs"</formula>
    </cfRule>
  </conditionalFormatting>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ySplit="2.0" topLeftCell="B3" activePane="bottomRight" state="frozen"/>
      <selection activeCell="B1" sqref="B1" pane="topRight"/>
      <selection activeCell="A3" sqref="A3" pane="bottomLeft"/>
      <selection activeCell="B3" sqref="B3" pane="bottomRight"/>
    </sheetView>
  </sheetViews>
  <sheetFormatPr customHeight="1" defaultColWidth="14.43" defaultRowHeight="15.0" outlineLevelRow="1"/>
  <cols>
    <col customWidth="1" min="1" max="1" width="80.14"/>
    <col customWidth="1" min="2" max="27" width="14.43"/>
  </cols>
  <sheetData>
    <row r="1">
      <c r="A1" s="1" t="s">
        <v>293</v>
      </c>
    </row>
    <row r="2">
      <c r="A2" s="4" t="s">
        <v>294</v>
      </c>
      <c r="B2" s="67">
        <v>1.0</v>
      </c>
      <c r="C2" s="46">
        <f t="shared" ref="C2:Y2" si="1">B2+1</f>
        <v>2</v>
      </c>
      <c r="D2" s="46">
        <f t="shared" si="1"/>
        <v>3</v>
      </c>
      <c r="E2" s="46">
        <f t="shared" si="1"/>
        <v>4</v>
      </c>
      <c r="F2" s="46">
        <f t="shared" si="1"/>
        <v>5</v>
      </c>
      <c r="G2" s="46">
        <f t="shared" si="1"/>
        <v>6</v>
      </c>
      <c r="H2" s="46">
        <f t="shared" si="1"/>
        <v>7</v>
      </c>
      <c r="I2" s="46">
        <f t="shared" si="1"/>
        <v>8</v>
      </c>
      <c r="J2" s="46">
        <f t="shared" si="1"/>
        <v>9</v>
      </c>
      <c r="K2" s="46">
        <f t="shared" si="1"/>
        <v>10</v>
      </c>
      <c r="L2" s="46">
        <f t="shared" si="1"/>
        <v>11</v>
      </c>
      <c r="M2" s="46">
        <f t="shared" si="1"/>
        <v>12</v>
      </c>
      <c r="N2" s="46">
        <f t="shared" si="1"/>
        <v>13</v>
      </c>
      <c r="O2" s="46">
        <f t="shared" si="1"/>
        <v>14</v>
      </c>
      <c r="P2" s="46">
        <f t="shared" si="1"/>
        <v>15</v>
      </c>
      <c r="Q2" s="46">
        <f t="shared" si="1"/>
        <v>16</v>
      </c>
      <c r="R2" s="46">
        <f t="shared" si="1"/>
        <v>17</v>
      </c>
      <c r="S2" s="46">
        <f t="shared" si="1"/>
        <v>18</v>
      </c>
      <c r="T2" s="46">
        <f t="shared" si="1"/>
        <v>19</v>
      </c>
      <c r="U2" s="46">
        <f t="shared" si="1"/>
        <v>20</v>
      </c>
      <c r="V2" s="46">
        <f t="shared" si="1"/>
        <v>21</v>
      </c>
      <c r="W2" s="46">
        <f t="shared" si="1"/>
        <v>22</v>
      </c>
      <c r="X2" s="46">
        <f t="shared" si="1"/>
        <v>23</v>
      </c>
      <c r="Y2" s="46">
        <f t="shared" si="1"/>
        <v>24</v>
      </c>
      <c r="Z2" s="68" t="s">
        <v>119</v>
      </c>
      <c r="AA2" s="68" t="s">
        <v>120</v>
      </c>
    </row>
    <row r="3">
      <c r="A3" s="38" t="s">
        <v>295</v>
      </c>
      <c r="B3" s="69">
        <f t="shared" ref="B3:Y3" si="2">ROUNDUP(B$2/3,0)</f>
        <v>1</v>
      </c>
      <c r="C3" s="69">
        <f t="shared" si="2"/>
        <v>1</v>
      </c>
      <c r="D3" s="69">
        <f t="shared" si="2"/>
        <v>1</v>
      </c>
      <c r="E3" s="69">
        <f t="shared" si="2"/>
        <v>2</v>
      </c>
      <c r="F3" s="69">
        <f t="shared" si="2"/>
        <v>2</v>
      </c>
      <c r="G3" s="69">
        <f t="shared" si="2"/>
        <v>2</v>
      </c>
      <c r="H3" s="69">
        <f t="shared" si="2"/>
        <v>3</v>
      </c>
      <c r="I3" s="69">
        <f t="shared" si="2"/>
        <v>3</v>
      </c>
      <c r="J3" s="69">
        <f t="shared" si="2"/>
        <v>3</v>
      </c>
      <c r="K3" s="69">
        <f t="shared" si="2"/>
        <v>4</v>
      </c>
      <c r="L3" s="69">
        <f t="shared" si="2"/>
        <v>4</v>
      </c>
      <c r="M3" s="69">
        <f t="shared" si="2"/>
        <v>4</v>
      </c>
      <c r="N3" s="69">
        <f t="shared" si="2"/>
        <v>5</v>
      </c>
      <c r="O3" s="69">
        <f t="shared" si="2"/>
        <v>5</v>
      </c>
      <c r="P3" s="69">
        <f t="shared" si="2"/>
        <v>5</v>
      </c>
      <c r="Q3" s="69">
        <f t="shared" si="2"/>
        <v>6</v>
      </c>
      <c r="R3" s="69">
        <f t="shared" si="2"/>
        <v>6</v>
      </c>
      <c r="S3" s="69">
        <f t="shared" si="2"/>
        <v>6</v>
      </c>
      <c r="T3" s="69">
        <f t="shared" si="2"/>
        <v>7</v>
      </c>
      <c r="U3" s="69">
        <f t="shared" si="2"/>
        <v>7</v>
      </c>
      <c r="V3" s="69">
        <f t="shared" si="2"/>
        <v>7</v>
      </c>
      <c r="W3" s="69">
        <f t="shared" si="2"/>
        <v>8</v>
      </c>
      <c r="X3" s="69">
        <f t="shared" si="2"/>
        <v>8</v>
      </c>
      <c r="Y3" s="69">
        <f t="shared" si="2"/>
        <v>8</v>
      </c>
      <c r="Z3" s="69"/>
      <c r="AA3" s="69"/>
    </row>
    <row r="4">
      <c r="A4" s="38" t="s">
        <v>296</v>
      </c>
      <c r="B4" s="69">
        <f t="shared" ref="B4:Y4" si="3">ROUNDUP(B$2/12,0)</f>
        <v>1</v>
      </c>
      <c r="C4" s="69">
        <f t="shared" si="3"/>
        <v>1</v>
      </c>
      <c r="D4" s="69">
        <f t="shared" si="3"/>
        <v>1</v>
      </c>
      <c r="E4" s="69">
        <f t="shared" si="3"/>
        <v>1</v>
      </c>
      <c r="F4" s="69">
        <f t="shared" si="3"/>
        <v>1</v>
      </c>
      <c r="G4" s="69">
        <f t="shared" si="3"/>
        <v>1</v>
      </c>
      <c r="H4" s="69">
        <f t="shared" si="3"/>
        <v>1</v>
      </c>
      <c r="I4" s="69">
        <f t="shared" si="3"/>
        <v>1</v>
      </c>
      <c r="J4" s="69">
        <f t="shared" si="3"/>
        <v>1</v>
      </c>
      <c r="K4" s="69">
        <f t="shared" si="3"/>
        <v>1</v>
      </c>
      <c r="L4" s="69">
        <f t="shared" si="3"/>
        <v>1</v>
      </c>
      <c r="M4" s="69">
        <f t="shared" si="3"/>
        <v>1</v>
      </c>
      <c r="N4" s="69">
        <f t="shared" si="3"/>
        <v>2</v>
      </c>
      <c r="O4" s="69">
        <f t="shared" si="3"/>
        <v>2</v>
      </c>
      <c r="P4" s="69">
        <f t="shared" si="3"/>
        <v>2</v>
      </c>
      <c r="Q4" s="69">
        <f t="shared" si="3"/>
        <v>2</v>
      </c>
      <c r="R4" s="69">
        <f t="shared" si="3"/>
        <v>2</v>
      </c>
      <c r="S4" s="69">
        <f t="shared" si="3"/>
        <v>2</v>
      </c>
      <c r="T4" s="69">
        <f t="shared" si="3"/>
        <v>2</v>
      </c>
      <c r="U4" s="69">
        <f t="shared" si="3"/>
        <v>2</v>
      </c>
      <c r="V4" s="69">
        <f t="shared" si="3"/>
        <v>2</v>
      </c>
      <c r="W4" s="69">
        <f t="shared" si="3"/>
        <v>2</v>
      </c>
      <c r="X4" s="69">
        <f t="shared" si="3"/>
        <v>2</v>
      </c>
      <c r="Y4" s="69">
        <f t="shared" si="3"/>
        <v>2</v>
      </c>
      <c r="Z4" s="69"/>
      <c r="AA4" s="69"/>
    </row>
    <row r="5">
      <c r="A5" s="4" t="s">
        <v>297</v>
      </c>
      <c r="B5" s="46"/>
      <c r="C5" s="46"/>
      <c r="D5" s="46"/>
      <c r="E5" s="46"/>
      <c r="F5" s="46"/>
      <c r="G5" s="46"/>
      <c r="H5" s="46"/>
      <c r="I5" s="46"/>
      <c r="J5" s="46"/>
      <c r="K5" s="46"/>
      <c r="L5" s="46"/>
      <c r="M5" s="46"/>
      <c r="N5" s="46"/>
      <c r="O5" s="46"/>
      <c r="P5" s="46"/>
      <c r="Q5" s="46"/>
      <c r="R5" s="46"/>
      <c r="S5" s="46"/>
      <c r="T5" s="46"/>
      <c r="U5" s="46"/>
      <c r="V5" s="46"/>
      <c r="W5" s="46"/>
      <c r="X5" s="46"/>
      <c r="Y5" s="46"/>
      <c r="Z5" s="46"/>
      <c r="AA5" s="46"/>
    </row>
    <row r="6">
      <c r="A6" s="4" t="s">
        <v>298</v>
      </c>
      <c r="B6" s="68" t="s">
        <v>119</v>
      </c>
      <c r="C6" s="68" t="s">
        <v>120</v>
      </c>
      <c r="D6" s="46"/>
      <c r="E6" s="46"/>
      <c r="F6" s="46"/>
      <c r="G6" s="46"/>
      <c r="H6" s="46"/>
      <c r="I6" s="46"/>
      <c r="J6" s="46"/>
      <c r="K6" s="46"/>
      <c r="L6" s="46"/>
      <c r="M6" s="46"/>
      <c r="N6" s="46"/>
      <c r="O6" s="46"/>
      <c r="P6" s="46"/>
      <c r="Q6" s="46"/>
      <c r="R6" s="46"/>
      <c r="S6" s="46"/>
      <c r="T6" s="46"/>
      <c r="U6" s="46"/>
      <c r="V6" s="46"/>
      <c r="W6" s="46"/>
      <c r="X6" s="46"/>
      <c r="Y6" s="46"/>
      <c r="Z6" s="46"/>
      <c r="AA6" s="46"/>
    </row>
    <row r="7">
      <c r="A7" s="6" t="s">
        <v>299</v>
      </c>
      <c r="B7" s="70">
        <f t="shared" ref="B7:C7" si="4">Z67</f>
        <v>4500000</v>
      </c>
      <c r="C7" s="70">
        <f t="shared" si="4"/>
        <v>6900000</v>
      </c>
    </row>
    <row r="8">
      <c r="A8" s="6" t="s">
        <v>300</v>
      </c>
      <c r="B8" s="70">
        <f>Inputs!$B$20*Inputs!$B$9</f>
        <v>1800000</v>
      </c>
      <c r="C8" s="70">
        <f>Inputs!$B$20*Inputs!$B$10</f>
        <v>2400000</v>
      </c>
    </row>
    <row r="9">
      <c r="A9" s="6" t="s">
        <v>301</v>
      </c>
      <c r="B9" s="70">
        <f>ARR!$M$46</f>
        <v>4678072.472</v>
      </c>
      <c r="C9" s="70">
        <f>ARR!$Y$46</f>
        <v>6944618.084</v>
      </c>
    </row>
    <row r="10">
      <c r="A10" s="12" t="s">
        <v>302</v>
      </c>
      <c r="B10" s="71">
        <f t="shared" ref="B10:C10" si="5">B9-B7</f>
        <v>178072.4721</v>
      </c>
      <c r="C10" s="71">
        <f t="shared" si="5"/>
        <v>44618.08446</v>
      </c>
    </row>
    <row r="11">
      <c r="A11" s="6" t="s">
        <v>126</v>
      </c>
      <c r="B11" s="70">
        <f>ARR!$M$46-Inputs!$B$8*Inputs!$B$18</f>
        <v>1978072.472</v>
      </c>
      <c r="C11" s="70">
        <f>ARR!$Y$46-ARR!$M$46</f>
        <v>2266545.612</v>
      </c>
    </row>
    <row r="12">
      <c r="A12" s="6" t="s">
        <v>303</v>
      </c>
      <c r="B12" s="70">
        <f t="shared" ref="B12:C12" si="6">Z70</f>
        <v>1261147.425</v>
      </c>
      <c r="C12" s="70">
        <f t="shared" si="6"/>
        <v>484687.2215</v>
      </c>
    </row>
    <row r="13">
      <c r="A13" s="6" t="s">
        <v>304</v>
      </c>
      <c r="B13" s="70">
        <f t="shared" ref="B13:C13" si="7">B15-B12</f>
        <v>178072.4721</v>
      </c>
      <c r="C13" s="70">
        <f t="shared" si="7"/>
        <v>44618.08446</v>
      </c>
    </row>
    <row r="14">
      <c r="A14" s="12" t="s">
        <v>305</v>
      </c>
      <c r="B14" s="72">
        <f t="shared" ref="B14:C14" si="8">Z73</f>
        <v>6</v>
      </c>
      <c r="C14" s="72">
        <f t="shared" si="8"/>
        <v>2</v>
      </c>
    </row>
    <row r="15">
      <c r="A15" s="6" t="s">
        <v>306</v>
      </c>
      <c r="B15" s="70">
        <f t="shared" ref="B15:C15" si="9">Z72</f>
        <v>1439219.897</v>
      </c>
      <c r="C15" s="70">
        <f t="shared" si="9"/>
        <v>529305.3059</v>
      </c>
    </row>
    <row r="16">
      <c r="A16" s="6" t="s">
        <v>307</v>
      </c>
      <c r="B16" s="73">
        <f>SUMPRODUCT(MAX(($B$2:$M$2)*($B71:$M71&gt;0)))</f>
        <v>10</v>
      </c>
      <c r="C16" s="73">
        <f>SUMPRODUCT(MAX(($N$2:$Y$2)*($N71:$Y71&gt;0)))</f>
        <v>22</v>
      </c>
    </row>
    <row r="17">
      <c r="A17" s="6" t="s">
        <v>308</v>
      </c>
      <c r="B17" s="73">
        <f t="shared" ref="B17:C17" si="10">Z74</f>
        <v>6</v>
      </c>
      <c r="C17" s="73">
        <f t="shared" si="10"/>
        <v>2</v>
      </c>
    </row>
    <row r="18">
      <c r="A18" s="12" t="s">
        <v>309</v>
      </c>
      <c r="B18" s="72">
        <f>SUMIFS($B74:$M74,$B$2:$M$2,"&gt;"&amp;B16)</f>
        <v>0</v>
      </c>
      <c r="C18" s="72">
        <f>SUMIFS($N74:$Y74,$N$2:$Y$2,"&gt;"&amp;C16)</f>
        <v>0</v>
      </c>
    </row>
    <row r="19">
      <c r="A19" s="6" t="s">
        <v>310</v>
      </c>
      <c r="B19" s="70">
        <f t="shared" ref="B19:C19" si="11">Z75</f>
        <v>1439219.897</v>
      </c>
      <c r="C19" s="70">
        <f t="shared" si="11"/>
        <v>529305.3059</v>
      </c>
    </row>
    <row r="20">
      <c r="A20" s="6" t="s">
        <v>311</v>
      </c>
      <c r="B20" s="70">
        <f t="shared" ref="B20:C20" si="12">MAX(0,B12-B19)</f>
        <v>0</v>
      </c>
      <c r="C20" s="70">
        <f t="shared" si="12"/>
        <v>0</v>
      </c>
    </row>
    <row r="21">
      <c r="A21" s="6" t="s">
        <v>312</v>
      </c>
      <c r="B21" s="52">
        <f>IF(B20=0,0,IF($B71=0,"n/a",ROUNDUP(B20/$B71,0)))</f>
        <v>0</v>
      </c>
      <c r="C21" s="52">
        <f>IF(C20=0,0,IF($N71=0,"n/a",ROUNDUP(C20/$N71,0)))</f>
        <v>0</v>
      </c>
    </row>
    <row r="22">
      <c r="A22" s="3"/>
    </row>
    <row r="23">
      <c r="A23" s="4" t="s">
        <v>313</v>
      </c>
      <c r="B23" s="68" t="s">
        <v>119</v>
      </c>
      <c r="C23" s="68" t="s">
        <v>120</v>
      </c>
      <c r="D23" s="46"/>
      <c r="E23" s="46"/>
      <c r="F23" s="46"/>
      <c r="G23" s="46"/>
      <c r="H23" s="46"/>
      <c r="I23" s="46"/>
      <c r="J23" s="46"/>
      <c r="K23" s="46"/>
      <c r="L23" s="46"/>
      <c r="M23" s="46"/>
      <c r="N23" s="46"/>
      <c r="O23" s="46"/>
      <c r="P23" s="46"/>
      <c r="Q23" s="46"/>
      <c r="R23" s="46"/>
      <c r="S23" s="46"/>
      <c r="T23" s="46"/>
      <c r="U23" s="46"/>
      <c r="V23" s="46"/>
      <c r="W23" s="46"/>
      <c r="X23" s="46"/>
      <c r="Y23" s="46"/>
      <c r="Z23" s="46"/>
      <c r="AA23" s="46"/>
    </row>
    <row r="24">
      <c r="A24" s="6" t="s">
        <v>299</v>
      </c>
      <c r="B24" s="70">
        <f t="shared" ref="B24:C24" si="13">Z78</f>
        <v>5700000</v>
      </c>
      <c r="C24" s="70">
        <f t="shared" si="13"/>
        <v>8500000</v>
      </c>
    </row>
    <row r="25">
      <c r="A25" s="6" t="s">
        <v>300</v>
      </c>
      <c r="B25" s="70">
        <f>Inputs!$C$20*Inputs!$B$9</f>
        <v>2100000</v>
      </c>
      <c r="C25" s="70">
        <f>Inputs!$C$20*Inputs!$B$10</f>
        <v>2800000</v>
      </c>
    </row>
    <row r="26">
      <c r="A26" s="6" t="s">
        <v>301</v>
      </c>
      <c r="B26" s="70">
        <f>ARR!$M$57</f>
        <v>5879550.748</v>
      </c>
      <c r="C26" s="70">
        <f>ARR!$Y$57</f>
        <v>8738168.813</v>
      </c>
    </row>
    <row r="27">
      <c r="A27" s="12" t="s">
        <v>302</v>
      </c>
      <c r="B27" s="71">
        <f t="shared" ref="B27:C27" si="14">B26-B24</f>
        <v>179550.7477</v>
      </c>
      <c r="C27" s="71">
        <f t="shared" si="14"/>
        <v>238168.8133</v>
      </c>
    </row>
    <row r="28">
      <c r="A28" s="6" t="s">
        <v>126</v>
      </c>
      <c r="B28" s="70">
        <f>ARR!$M$57-Inputs!$B$8*Inputs!$C$18</f>
        <v>2279550.748</v>
      </c>
      <c r="C28" s="70">
        <f>ARR!$Y$57-ARR!$M$57</f>
        <v>2858618.066</v>
      </c>
    </row>
    <row r="29">
      <c r="A29" s="6" t="s">
        <v>303</v>
      </c>
      <c r="B29" s="70">
        <f t="shared" ref="B29:C29" si="15">Z81</f>
        <v>0</v>
      </c>
      <c r="C29" s="70">
        <f t="shared" si="15"/>
        <v>643345.9451</v>
      </c>
    </row>
    <row r="30">
      <c r="A30" s="6" t="s">
        <v>304</v>
      </c>
      <c r="B30" s="70">
        <f t="shared" ref="B30:C30" si="16">B32-B29</f>
        <v>0</v>
      </c>
      <c r="C30" s="70">
        <f t="shared" si="16"/>
        <v>238168.8133</v>
      </c>
    </row>
    <row r="31">
      <c r="A31" s="12" t="s">
        <v>305</v>
      </c>
      <c r="B31" s="72">
        <f t="shared" ref="B31:C31" si="17">Z84</f>
        <v>0</v>
      </c>
      <c r="C31" s="72">
        <f t="shared" si="17"/>
        <v>3</v>
      </c>
    </row>
    <row r="32">
      <c r="A32" s="6" t="s">
        <v>306</v>
      </c>
      <c r="B32" s="70">
        <f t="shared" ref="B32:C32" si="18">Z83</f>
        <v>0</v>
      </c>
      <c r="C32" s="70">
        <f t="shared" si="18"/>
        <v>881514.7584</v>
      </c>
    </row>
    <row r="33">
      <c r="A33" s="6" t="s">
        <v>307</v>
      </c>
      <c r="B33" s="73">
        <f>SUMPRODUCT(MAX(($B$2:$M$2)*($B82:$M82&gt;0)))</f>
        <v>8</v>
      </c>
      <c r="C33" s="73">
        <f>SUMPRODUCT(MAX(($N$2:$Y$2)*($N82:$Y82&gt;0)))</f>
        <v>20</v>
      </c>
    </row>
    <row r="34">
      <c r="A34" s="6" t="s">
        <v>308</v>
      </c>
      <c r="B34" s="73">
        <f t="shared" ref="B34:C34" si="19">Z85</f>
        <v>0</v>
      </c>
      <c r="C34" s="73">
        <f t="shared" si="19"/>
        <v>3</v>
      </c>
    </row>
    <row r="35">
      <c r="A35" s="12" t="s">
        <v>309</v>
      </c>
      <c r="B35" s="72">
        <f>SUMIFS($B85:$M85,$B$2:$M$2,"&gt;"&amp;B33)</f>
        <v>0</v>
      </c>
      <c r="C35" s="72">
        <f>SUMIFS($N85:$Y85,$N$2:$Y$2,"&gt;"&amp;C33)</f>
        <v>0</v>
      </c>
    </row>
    <row r="36">
      <c r="A36" s="6" t="s">
        <v>310</v>
      </c>
      <c r="B36" s="70">
        <f t="shared" ref="B36:C36" si="20">Z86</f>
        <v>0</v>
      </c>
      <c r="C36" s="70">
        <f t="shared" si="20"/>
        <v>881514.7584</v>
      </c>
    </row>
    <row r="37">
      <c r="A37" s="6" t="s">
        <v>311</v>
      </c>
      <c r="B37" s="70">
        <f t="shared" ref="B37:C37" si="21">MAX(0,B29-B36)</f>
        <v>0</v>
      </c>
      <c r="C37" s="70">
        <f t="shared" si="21"/>
        <v>0</v>
      </c>
    </row>
    <row r="38">
      <c r="A38" s="6" t="s">
        <v>312</v>
      </c>
      <c r="B38" s="52">
        <f>IF(B37=0,0,IF($B82=0,"n/a",ROUNDUP(B37/$B82,0)))</f>
        <v>0</v>
      </c>
      <c r="C38" s="52">
        <f>IF(C37=0,0,IF($N82=0,"n/a",ROUNDUP(C37/$N82,0)))</f>
        <v>0</v>
      </c>
    </row>
    <row r="39">
      <c r="A39" s="3"/>
    </row>
    <row r="40">
      <c r="A40" s="4" t="s">
        <v>314</v>
      </c>
      <c r="B40" s="68" t="s">
        <v>119</v>
      </c>
      <c r="C40" s="68" t="s">
        <v>120</v>
      </c>
      <c r="D40" s="46"/>
      <c r="E40" s="46"/>
      <c r="F40" s="46"/>
      <c r="G40" s="46"/>
      <c r="H40" s="46"/>
      <c r="I40" s="46"/>
      <c r="J40" s="46"/>
      <c r="K40" s="46"/>
      <c r="L40" s="46"/>
      <c r="M40" s="46"/>
      <c r="N40" s="46"/>
      <c r="O40" s="46"/>
      <c r="P40" s="46"/>
      <c r="Q40" s="46"/>
      <c r="R40" s="46"/>
      <c r="S40" s="46"/>
      <c r="T40" s="46"/>
      <c r="U40" s="46"/>
      <c r="V40" s="46"/>
      <c r="W40" s="46"/>
      <c r="X40" s="46"/>
      <c r="Y40" s="46"/>
      <c r="Z40" s="46"/>
      <c r="AA40" s="46"/>
    </row>
    <row r="41">
      <c r="A41" s="6" t="s">
        <v>299</v>
      </c>
      <c r="B41" s="70">
        <f t="shared" ref="B41:C41" si="22">Z89</f>
        <v>4800000</v>
      </c>
      <c r="C41" s="70">
        <f t="shared" si="22"/>
        <v>7600000</v>
      </c>
    </row>
    <row r="42">
      <c r="A42" s="6" t="s">
        <v>300</v>
      </c>
      <c r="B42" s="70">
        <f>Inputs!$D$20*Inputs!$B$9</f>
        <v>2100000</v>
      </c>
      <c r="C42" s="70">
        <f>Inputs!$D$20*Inputs!$B$10</f>
        <v>2800000</v>
      </c>
    </row>
    <row r="43">
      <c r="A43" s="6" t="s">
        <v>301</v>
      </c>
      <c r="B43" s="70">
        <f>ARR!$M$68</f>
        <v>5028750.217</v>
      </c>
      <c r="C43" s="70">
        <f>ARR!$Y$68</f>
        <v>8244556.493</v>
      </c>
    </row>
    <row r="44">
      <c r="A44" s="12" t="s">
        <v>302</v>
      </c>
      <c r="B44" s="71">
        <f t="shared" ref="B44:C44" si="23">B43-B41</f>
        <v>228750.2171</v>
      </c>
      <c r="C44" s="71">
        <f t="shared" si="23"/>
        <v>644556.4925</v>
      </c>
    </row>
    <row r="45">
      <c r="A45" s="6" t="s">
        <v>126</v>
      </c>
      <c r="B45" s="70">
        <f>ARR!$M$68-Inputs!$B$8*Inputs!$D$18</f>
        <v>2328750.217</v>
      </c>
      <c r="C45" s="70">
        <f>ARR!$Y$68-ARR!$M$68</f>
        <v>3215806.275</v>
      </c>
    </row>
    <row r="46">
      <c r="A46" s="6" t="s">
        <v>303</v>
      </c>
      <c r="B46" s="70">
        <f t="shared" ref="B46:C46" si="24">Z92</f>
        <v>235841.4705</v>
      </c>
      <c r="C46" s="70">
        <f t="shared" si="24"/>
        <v>0</v>
      </c>
    </row>
    <row r="47">
      <c r="A47" s="6" t="s">
        <v>304</v>
      </c>
      <c r="B47" s="70">
        <f t="shared" ref="B47:C47" si="25">B49-B46</f>
        <v>228750.2171</v>
      </c>
      <c r="C47" s="70">
        <f t="shared" si="25"/>
        <v>0</v>
      </c>
    </row>
    <row r="48">
      <c r="A48" s="12" t="s">
        <v>305</v>
      </c>
      <c r="B48" s="72">
        <f t="shared" ref="B48:C48" si="26">Z95</f>
        <v>2</v>
      </c>
      <c r="C48" s="72">
        <f t="shared" si="26"/>
        <v>0</v>
      </c>
    </row>
    <row r="49">
      <c r="A49" s="6" t="s">
        <v>306</v>
      </c>
      <c r="B49" s="70">
        <f t="shared" ref="B49:C49" si="27">Z94</f>
        <v>464591.6876</v>
      </c>
      <c r="C49" s="70">
        <f t="shared" si="27"/>
        <v>0</v>
      </c>
    </row>
    <row r="50">
      <c r="A50" s="6" t="s">
        <v>307</v>
      </c>
      <c r="B50" s="73">
        <f>SUMPRODUCT(MAX(($B$2:$M$2)*($B93:$M93&gt;0)))</f>
        <v>5</v>
      </c>
      <c r="C50" s="73">
        <f>SUMPRODUCT(MAX(($N$2:$Y$2)*($N93:$Y93&gt;0)))</f>
        <v>17</v>
      </c>
    </row>
    <row r="51">
      <c r="A51" s="6" t="s">
        <v>308</v>
      </c>
      <c r="B51" s="73">
        <f t="shared" ref="B51:C51" si="28">Z96</f>
        <v>2</v>
      </c>
      <c r="C51" s="73">
        <f t="shared" si="28"/>
        <v>0</v>
      </c>
    </row>
    <row r="52">
      <c r="A52" s="12" t="s">
        <v>309</v>
      </c>
      <c r="B52" s="72">
        <f>SUMIFS($B96:$M96,$B$2:$M$2,"&gt;"&amp;B50)</f>
        <v>0</v>
      </c>
      <c r="C52" s="72">
        <f>SUMIFS($N96:$Y96,$N$2:$Y$2,"&gt;"&amp;C50)</f>
        <v>0</v>
      </c>
    </row>
    <row r="53">
      <c r="A53" s="6" t="s">
        <v>310</v>
      </c>
      <c r="B53" s="70">
        <f t="shared" ref="B53:C53" si="29">Z97</f>
        <v>464591.6876</v>
      </c>
      <c r="C53" s="70">
        <f t="shared" si="29"/>
        <v>0</v>
      </c>
    </row>
    <row r="54">
      <c r="A54" s="6" t="s">
        <v>311</v>
      </c>
      <c r="B54" s="70">
        <f t="shared" ref="B54:C54" si="30">MAX(0,B46-B53)</f>
        <v>0</v>
      </c>
      <c r="C54" s="70">
        <f t="shared" si="30"/>
        <v>0</v>
      </c>
    </row>
    <row r="55">
      <c r="A55" s="6" t="s">
        <v>312</v>
      </c>
      <c r="B55" s="52">
        <f>IF(B54=0,0,IF($B93=0,"n/a",ROUNDUP(B54/$B93,0)))</f>
        <v>0</v>
      </c>
      <c r="C55" s="52">
        <f>IF(C54=0,0,IF($N93=0,"n/a",ROUNDUP(C54/$N93,0)))</f>
        <v>0</v>
      </c>
    </row>
    <row r="56">
      <c r="A56" s="3"/>
    </row>
    <row r="57">
      <c r="A57" s="4" t="s">
        <v>315</v>
      </c>
      <c r="B57" s="68" t="s">
        <v>119</v>
      </c>
      <c r="C57" s="68" t="s">
        <v>120</v>
      </c>
      <c r="D57" s="46"/>
      <c r="E57" s="46"/>
      <c r="F57" s="46"/>
      <c r="G57" s="46"/>
      <c r="H57" s="46"/>
      <c r="I57" s="46"/>
      <c r="J57" s="46"/>
      <c r="K57" s="46"/>
      <c r="L57" s="46"/>
      <c r="M57" s="46"/>
      <c r="N57" s="46"/>
      <c r="O57" s="46"/>
      <c r="P57" s="46"/>
      <c r="Q57" s="46"/>
      <c r="R57" s="46"/>
      <c r="S57" s="46"/>
      <c r="T57" s="46"/>
      <c r="U57" s="46"/>
      <c r="V57" s="46"/>
      <c r="W57" s="46"/>
      <c r="X57" s="46"/>
      <c r="Y57" s="46"/>
      <c r="Z57" s="46"/>
      <c r="AA57" s="46"/>
    </row>
    <row r="58">
      <c r="A58" s="6" t="s">
        <v>123</v>
      </c>
      <c r="B58" s="70">
        <f t="shared" ref="B58:C58" si="31">B8+B25+B42</f>
        <v>6000000</v>
      </c>
      <c r="C58" s="70">
        <f t="shared" si="31"/>
        <v>8000000</v>
      </c>
    </row>
    <row r="59">
      <c r="A59" s="6" t="s">
        <v>126</v>
      </c>
      <c r="B59" s="70">
        <f t="shared" ref="B59:C59" si="32">B11+B28+B45</f>
        <v>6586373.437</v>
      </c>
      <c r="C59" s="70">
        <f t="shared" si="32"/>
        <v>8340969.953</v>
      </c>
    </row>
    <row r="60">
      <c r="A60" s="6" t="s">
        <v>316</v>
      </c>
      <c r="B60" s="70">
        <f t="shared" ref="B60:C60" si="33">B10+B27+B44</f>
        <v>586373.4369</v>
      </c>
      <c r="C60" s="70">
        <f t="shared" si="33"/>
        <v>927343.3903</v>
      </c>
    </row>
    <row r="61">
      <c r="A61" s="6" t="s">
        <v>317</v>
      </c>
      <c r="B61" s="73">
        <f t="shared" ref="B61:C61" si="34">B14+B31+B48</f>
        <v>8</v>
      </c>
      <c r="C61" s="73">
        <f t="shared" si="34"/>
        <v>5</v>
      </c>
    </row>
    <row r="62">
      <c r="A62" s="6" t="s">
        <v>145</v>
      </c>
      <c r="B62" s="73">
        <f t="shared" ref="B62:C62" si="35">B17+B34+B51</f>
        <v>8</v>
      </c>
      <c r="C62" s="73">
        <f t="shared" si="35"/>
        <v>5</v>
      </c>
    </row>
    <row r="63">
      <c r="A63" s="6" t="s">
        <v>318</v>
      </c>
      <c r="B63" s="73">
        <f t="shared" ref="B63:C63" si="36">B18+B35+B52</f>
        <v>0</v>
      </c>
      <c r="C63" s="73">
        <f t="shared" si="36"/>
        <v>0</v>
      </c>
    </row>
    <row r="64">
      <c r="A64" s="3"/>
    </row>
    <row r="65">
      <c r="A65" s="4" t="s">
        <v>319</v>
      </c>
      <c r="B65" s="46"/>
      <c r="C65" s="46"/>
      <c r="D65" s="46"/>
      <c r="E65" s="46"/>
      <c r="F65" s="46"/>
      <c r="G65" s="46"/>
      <c r="H65" s="46"/>
      <c r="I65" s="46"/>
      <c r="J65" s="46"/>
      <c r="K65" s="46"/>
      <c r="L65" s="46"/>
      <c r="M65" s="46"/>
      <c r="N65" s="46"/>
      <c r="O65" s="46"/>
      <c r="P65" s="46"/>
      <c r="Q65" s="46"/>
      <c r="R65" s="46"/>
      <c r="S65" s="46"/>
      <c r="T65" s="46"/>
      <c r="U65" s="46"/>
      <c r="V65" s="46"/>
      <c r="W65" s="46"/>
      <c r="X65" s="46"/>
      <c r="Y65" s="46"/>
      <c r="Z65" s="46"/>
      <c r="AA65" s="46"/>
    </row>
    <row r="66">
      <c r="A66" s="4" t="s">
        <v>320</v>
      </c>
      <c r="B66" s="46"/>
      <c r="C66" s="46"/>
      <c r="D66" s="46"/>
      <c r="E66" s="46"/>
      <c r="F66" s="46"/>
      <c r="G66" s="46"/>
      <c r="H66" s="46"/>
      <c r="I66" s="46"/>
      <c r="J66" s="46"/>
      <c r="K66" s="46"/>
      <c r="L66" s="46"/>
      <c r="M66" s="46"/>
      <c r="N66" s="46"/>
      <c r="O66" s="46"/>
      <c r="P66" s="46"/>
      <c r="Q66" s="46"/>
      <c r="R66" s="46"/>
      <c r="S66" s="46"/>
      <c r="T66" s="46"/>
      <c r="U66" s="46"/>
      <c r="V66" s="46"/>
      <c r="W66" s="46"/>
      <c r="X66" s="46"/>
      <c r="Y66" s="46"/>
      <c r="Z66" s="46"/>
      <c r="AA66" s="46"/>
    </row>
    <row r="67" outlineLevel="1">
      <c r="A67" s="6" t="s">
        <v>299</v>
      </c>
      <c r="B67" s="70">
        <f>Inputs!$B$8*Inputs!$B$18+Inputs!$B$20*Inputs!$B$9</f>
        <v>4500000</v>
      </c>
      <c r="C67" s="70">
        <f>Inputs!$B$8*Inputs!$B$18+Inputs!$B$20*Inputs!$B$9</f>
        <v>4500000</v>
      </c>
      <c r="D67" s="70">
        <f>Inputs!$B$8*Inputs!$B$18+Inputs!$B$20*Inputs!$B$9</f>
        <v>4500000</v>
      </c>
      <c r="E67" s="70">
        <f>Inputs!$B$8*Inputs!$B$18+Inputs!$B$20*Inputs!$B$9</f>
        <v>4500000</v>
      </c>
      <c r="F67" s="70">
        <f>Inputs!$B$8*Inputs!$B$18+Inputs!$B$20*Inputs!$B$9</f>
        <v>4500000</v>
      </c>
      <c r="G67" s="70">
        <f>Inputs!$B$8*Inputs!$B$18+Inputs!$B$20*Inputs!$B$9</f>
        <v>4500000</v>
      </c>
      <c r="H67" s="70">
        <f>Inputs!$B$8*Inputs!$B$18+Inputs!$B$20*Inputs!$B$9</f>
        <v>4500000</v>
      </c>
      <c r="I67" s="70">
        <f>Inputs!$B$8*Inputs!$B$18+Inputs!$B$20*Inputs!$B$9</f>
        <v>4500000</v>
      </c>
      <c r="J67" s="70">
        <f>Inputs!$B$8*Inputs!$B$18+Inputs!$B$20*Inputs!$B$9</f>
        <v>4500000</v>
      </c>
      <c r="K67" s="70">
        <f>Inputs!$B$8*Inputs!$B$18+Inputs!$B$20*Inputs!$B$9</f>
        <v>4500000</v>
      </c>
      <c r="L67" s="70">
        <f>Inputs!$B$8*Inputs!$B$18+Inputs!$B$20*Inputs!$B$9</f>
        <v>4500000</v>
      </c>
      <c r="M67" s="70">
        <f>Inputs!$B$8*Inputs!$B$18+Inputs!$B$20*Inputs!$B$9</f>
        <v>4500000</v>
      </c>
      <c r="N67" s="70">
        <f>Inputs!$B$8*Inputs!$B$18+Inputs!$B$20*(Inputs!$B$9+Inputs!$B$10)</f>
        <v>6900000</v>
      </c>
      <c r="O67" s="70">
        <f>Inputs!$B$8*Inputs!$B$18+Inputs!$B$20*(Inputs!$B$9+Inputs!$B$10)</f>
        <v>6900000</v>
      </c>
      <c r="P67" s="70">
        <f>Inputs!$B$8*Inputs!$B$18+Inputs!$B$20*(Inputs!$B$9+Inputs!$B$10)</f>
        <v>6900000</v>
      </c>
      <c r="Q67" s="70">
        <f>Inputs!$B$8*Inputs!$B$18+Inputs!$B$20*(Inputs!$B$9+Inputs!$B$10)</f>
        <v>6900000</v>
      </c>
      <c r="R67" s="70">
        <f>Inputs!$B$8*Inputs!$B$18+Inputs!$B$20*(Inputs!$B$9+Inputs!$B$10)</f>
        <v>6900000</v>
      </c>
      <c r="S67" s="70">
        <f>Inputs!$B$8*Inputs!$B$18+Inputs!$B$20*(Inputs!$B$9+Inputs!$B$10)</f>
        <v>6900000</v>
      </c>
      <c r="T67" s="70">
        <f>Inputs!$B$8*Inputs!$B$18+Inputs!$B$20*(Inputs!$B$9+Inputs!$B$10)</f>
        <v>6900000</v>
      </c>
      <c r="U67" s="70">
        <f>Inputs!$B$8*Inputs!$B$18+Inputs!$B$20*(Inputs!$B$9+Inputs!$B$10)</f>
        <v>6900000</v>
      </c>
      <c r="V67" s="70">
        <f>Inputs!$B$8*Inputs!$B$18+Inputs!$B$20*(Inputs!$B$9+Inputs!$B$10)</f>
        <v>6900000</v>
      </c>
      <c r="W67" s="70">
        <f>Inputs!$B$8*Inputs!$B$18+Inputs!$B$20*(Inputs!$B$9+Inputs!$B$10)</f>
        <v>6900000</v>
      </c>
      <c r="X67" s="70">
        <f>Inputs!$B$8*Inputs!$B$18+Inputs!$B$20*(Inputs!$B$9+Inputs!$B$10)</f>
        <v>6900000</v>
      </c>
      <c r="Y67" s="70">
        <f>Inputs!$B$8*Inputs!$B$18+Inputs!$B$20*(Inputs!$B$9+Inputs!$B$10)</f>
        <v>6900000</v>
      </c>
      <c r="Z67" s="70">
        <f>M67</f>
        <v>4500000</v>
      </c>
      <c r="AA67" s="70">
        <f>Y67</f>
        <v>6900000</v>
      </c>
    </row>
    <row r="68" outlineLevel="1">
      <c r="A68" s="6" t="s">
        <v>321</v>
      </c>
      <c r="B68" s="70">
        <f>Inputs!$B$31*((1-Inputs!$B$34)^(1/12))^B$2*'Rep capacity'!$B$13*Inputs!$B$28</f>
        <v>67095.78414</v>
      </c>
      <c r="C68" s="70">
        <f>Inputs!$B$31*((1-Inputs!$B$34)^(1/12))^C$2*'Rep capacity'!$B$13*Inputs!$B$28</f>
        <v>65130.84852</v>
      </c>
      <c r="D68" s="70">
        <f>Inputs!$B$31*((1-Inputs!$B$34)^(1/12))^D$2*'Rep capacity'!$B$13*Inputs!$B$28</f>
        <v>63223.45707</v>
      </c>
      <c r="E68" s="70">
        <f>Inputs!$B$31*((1-Inputs!$B$34)^(1/12))^E$2*'Rep capacity'!$B$13*Inputs!$B$28</f>
        <v>61371.9246</v>
      </c>
      <c r="F68" s="70">
        <f>Inputs!$B$31*((1-Inputs!$B$34)^(1/12))^F$2*'Rep capacity'!$B$13*Inputs!$B$28</f>
        <v>59574.61524</v>
      </c>
      <c r="G68" s="70">
        <f>Inputs!$B$31*((1-Inputs!$B$34)^(1/12))^G$2*'Rep capacity'!$B$13*Inputs!$B$28</f>
        <v>57829.94103</v>
      </c>
      <c r="H68" s="70">
        <f>Inputs!$B$31*((1-Inputs!$B$34)^(1/12))^H$2*'Rep capacity'!$B$13*Inputs!$B$28</f>
        <v>56136.36054</v>
      </c>
      <c r="I68" s="70">
        <f>Inputs!$B$31*((1-Inputs!$B$34)^(1/12))^I$2*'Rep capacity'!$B$13*Inputs!$B$28</f>
        <v>54492.37745</v>
      </c>
      <c r="J68" s="70">
        <f>Inputs!$B$31*((1-Inputs!$B$34)^(1/12))^J$2*'Rep capacity'!$B$13*Inputs!$B$28</f>
        <v>52896.53927</v>
      </c>
      <c r="K68" s="70">
        <f>Inputs!$B$31*((1-Inputs!$B$34)^(1/12))^K$2*'Rep capacity'!$B$13*Inputs!$B$28</f>
        <v>51347.43606</v>
      </c>
      <c r="L68" s="70">
        <f>Inputs!$B$31*((1-Inputs!$B$34)^(1/12))^L$2*'Rep capacity'!$B$13*Inputs!$B$28</f>
        <v>49843.69917</v>
      </c>
      <c r="M68" s="70">
        <f>Inputs!$B$31*((1-Inputs!$B$34)^(1/12))^M$2*'Rep capacity'!$B$13*Inputs!$B$28</f>
        <v>48384</v>
      </c>
      <c r="N68" s="70">
        <f>(Inputs!$B$31*((1-Inputs!$B$34)^(1/12))^N$2+SUMPRODUCT($B73:$M73,((((N$2-$B$2:$M$2)-Inputs!$B$30)&gt;=Inputs!$B$32)+(((N$2-$B$2:$M$2)-Inputs!$B$30)&lt;Inputs!$B$32)*((((N$2-$B$2:$M$2)-Inputs!$B$30)/MAX(Inputs!$B$32,1)&gt;Inputs!$B$33)*((N$2-$B$2:$M$2)-Inputs!$B$30)/MAX(Inputs!$B$32,1)+(((N$2-$B$2:$M$2)-Inputs!$B$30)/MAX(Inputs!$B$32,1)&lt;=Inputs!$B$33)*Inputs!$B$33)),((1-Inputs!$B$34)^(1/12))^(N$2-$B$2:$M$2)))*'Rep capacity'!$B$13*Inputs!$B$28</f>
        <v>196631.5882</v>
      </c>
      <c r="O68" s="70">
        <f>(Inputs!$B$31*((1-Inputs!$B$34)^(1/12))^O$2+SUMPRODUCT($B73:$M73,((((O$2-$B$2:$M$2)-Inputs!$B$30)&gt;=Inputs!$B$32)+(((O$2-$B$2:$M$2)-Inputs!$B$30)&lt;Inputs!$B$32)*((((O$2-$B$2:$M$2)-Inputs!$B$30)/MAX(Inputs!$B$32,1)&gt;Inputs!$B$33)*((O$2-$B$2:$M$2)-Inputs!$B$30)/MAX(Inputs!$B$32,1)+(((O$2-$B$2:$M$2)-Inputs!$B$30)/MAX(Inputs!$B$32,1)&lt;=Inputs!$B$33)*Inputs!$B$33)),((1-Inputs!$B$34)^(1/12))^(O$2-$B$2:$M$2)))*'Rep capacity'!$B$13*Inputs!$B$28</f>
        <v>190873.1278</v>
      </c>
      <c r="P68" s="70">
        <f>(Inputs!$B$31*((1-Inputs!$B$34)^(1/12))^P$2+SUMPRODUCT($B73:$M73,((((P$2-$B$2:$M$2)-Inputs!$B$30)&gt;=Inputs!$B$32)+(((P$2-$B$2:$M$2)-Inputs!$B$30)&lt;Inputs!$B$32)*((((P$2-$B$2:$M$2)-Inputs!$B$30)/MAX(Inputs!$B$32,1)&gt;Inputs!$B$33)*((P$2-$B$2:$M$2)-Inputs!$B$30)/MAX(Inputs!$B$32,1)+(((P$2-$B$2:$M$2)-Inputs!$B$30)/MAX(Inputs!$B$32,1)&lt;=Inputs!$B$33)*Inputs!$B$33)),((1-Inputs!$B$34)^(1/12))^(P$2-$B$2:$M$2)))*'Rep capacity'!$B$13*Inputs!$B$28</f>
        <v>185283.307</v>
      </c>
      <c r="Q68" s="70">
        <f>(Inputs!$B$31*((1-Inputs!$B$34)^(1/12))^Q$2+SUMPRODUCT($B73:$M73,((((Q$2-$B$2:$M$2)-Inputs!$B$30)&gt;=Inputs!$B$32)+(((Q$2-$B$2:$M$2)-Inputs!$B$30)&lt;Inputs!$B$32)*((((Q$2-$B$2:$M$2)-Inputs!$B$30)/MAX(Inputs!$B$32,1)&gt;Inputs!$B$33)*((Q$2-$B$2:$M$2)-Inputs!$B$30)/MAX(Inputs!$B$32,1)+(((Q$2-$B$2:$M$2)-Inputs!$B$30)/MAX(Inputs!$B$32,1)&lt;=Inputs!$B$33)*Inputs!$B$33)),((1-Inputs!$B$34)^(1/12))^(Q$2-$B$2:$M$2)))*'Rep capacity'!$B$13*Inputs!$B$28</f>
        <v>179857.1871</v>
      </c>
      <c r="R68" s="70">
        <f>(Inputs!$B$31*((1-Inputs!$B$34)^(1/12))^R$2+SUMPRODUCT($B73:$M73,((((R$2-$B$2:$M$2)-Inputs!$B$30)&gt;=Inputs!$B$32)+(((R$2-$B$2:$M$2)-Inputs!$B$30)&lt;Inputs!$B$32)*((((R$2-$B$2:$M$2)-Inputs!$B$30)/MAX(Inputs!$B$32,1)&gt;Inputs!$B$33)*((R$2-$B$2:$M$2)-Inputs!$B$30)/MAX(Inputs!$B$32,1)+(((R$2-$B$2:$M$2)-Inputs!$B$30)/MAX(Inputs!$B$32,1)&lt;=Inputs!$B$33)*Inputs!$B$33)),((1-Inputs!$B$34)^(1/12))^(R$2-$B$2:$M$2)))*'Rep capacity'!$B$13*Inputs!$B$28</f>
        <v>174589.974</v>
      </c>
      <c r="S68" s="70">
        <f>(Inputs!$B$31*((1-Inputs!$B$34)^(1/12))^S$2+SUMPRODUCT($B73:$M73,((((S$2-$B$2:$M$2)-Inputs!$B$30)&gt;=Inputs!$B$32)+(((S$2-$B$2:$M$2)-Inputs!$B$30)&lt;Inputs!$B$32)*((((S$2-$B$2:$M$2)-Inputs!$B$30)/MAX(Inputs!$B$32,1)&gt;Inputs!$B$33)*((S$2-$B$2:$M$2)-Inputs!$B$30)/MAX(Inputs!$B$32,1)+(((S$2-$B$2:$M$2)-Inputs!$B$30)/MAX(Inputs!$B$32,1)&lt;=Inputs!$B$33)*Inputs!$B$33)),((1-Inputs!$B$34)^(1/12))^(S$2-$B$2:$M$2)))*'Rep capacity'!$B$13*Inputs!$B$28</f>
        <v>169477.014</v>
      </c>
      <c r="T68" s="70">
        <f>(Inputs!$B$31*((1-Inputs!$B$34)^(1/12))^T$2+SUMPRODUCT($B73:$M73,((((T$2-$B$2:$M$2)-Inputs!$B$30)&gt;=Inputs!$B$32)+(((T$2-$B$2:$M$2)-Inputs!$B$30)&lt;Inputs!$B$32)*((((T$2-$B$2:$M$2)-Inputs!$B$30)/MAX(Inputs!$B$32,1)&gt;Inputs!$B$33)*((T$2-$B$2:$M$2)-Inputs!$B$30)/MAX(Inputs!$B$32,1)+(((T$2-$B$2:$M$2)-Inputs!$B$30)/MAX(Inputs!$B$32,1)&lt;=Inputs!$B$33)*Inputs!$B$33)),((1-Inputs!$B$34)^(1/12))^(T$2-$B$2:$M$2)))*'Rep capacity'!$B$13*Inputs!$B$28</f>
        <v>164513.7898</v>
      </c>
      <c r="U68" s="70">
        <f>(Inputs!$B$31*((1-Inputs!$B$34)^(1/12))^U$2+SUMPRODUCT($B73:$M73,((((U$2-$B$2:$M$2)-Inputs!$B$30)&gt;=Inputs!$B$32)+(((U$2-$B$2:$M$2)-Inputs!$B$30)&lt;Inputs!$B$32)*((((U$2-$B$2:$M$2)-Inputs!$B$30)/MAX(Inputs!$B$32,1)&gt;Inputs!$B$33)*((U$2-$B$2:$M$2)-Inputs!$B$30)/MAX(Inputs!$B$32,1)+(((U$2-$B$2:$M$2)-Inputs!$B$30)/MAX(Inputs!$B$32,1)&lt;=Inputs!$B$33)*Inputs!$B$33)),((1-Inputs!$B$34)^(1/12))^(U$2-$B$2:$M$2)))*'Rep capacity'!$B$13*Inputs!$B$28</f>
        <v>159695.9162</v>
      </c>
      <c r="V68" s="70">
        <f>(Inputs!$B$31*((1-Inputs!$B$34)^(1/12))^V$2+SUMPRODUCT($B73:$M73,((((V$2-$B$2:$M$2)-Inputs!$B$30)&gt;=Inputs!$B$32)+(((V$2-$B$2:$M$2)-Inputs!$B$30)&lt;Inputs!$B$32)*((((V$2-$B$2:$M$2)-Inputs!$B$30)/MAX(Inputs!$B$32,1)&gt;Inputs!$B$33)*((V$2-$B$2:$M$2)-Inputs!$B$30)/MAX(Inputs!$B$32,1)+(((V$2-$B$2:$M$2)-Inputs!$B$30)/MAX(Inputs!$B$32,1)&lt;=Inputs!$B$33)*Inputs!$B$33)),((1-Inputs!$B$34)^(1/12))^(V$2-$B$2:$M$2)))*'Rep capacity'!$B$13*Inputs!$B$28</f>
        <v>155019.1366</v>
      </c>
      <c r="W68" s="70">
        <f>(Inputs!$B$31*((1-Inputs!$B$34)^(1/12))^W$2+SUMPRODUCT($B73:$M73,((((W$2-$B$2:$M$2)-Inputs!$B$30)&gt;=Inputs!$B$32)+(((W$2-$B$2:$M$2)-Inputs!$B$30)&lt;Inputs!$B$32)*((((W$2-$B$2:$M$2)-Inputs!$B$30)/MAX(Inputs!$B$32,1)&gt;Inputs!$B$33)*((W$2-$B$2:$M$2)-Inputs!$B$30)/MAX(Inputs!$B$32,1)+(((W$2-$B$2:$M$2)-Inputs!$B$30)/MAX(Inputs!$B$32,1)&lt;=Inputs!$B$33)*Inputs!$B$33)),((1-Inputs!$B$34)^(1/12))^(W$2-$B$2:$M$2)))*'Rep capacity'!$B$13*Inputs!$B$28</f>
        <v>150479.319</v>
      </c>
      <c r="X68" s="70">
        <f>(Inputs!$B$31*((1-Inputs!$B$34)^(1/12))^X$2+SUMPRODUCT($B73:$M73,((((X$2-$B$2:$M$2)-Inputs!$B$30)&gt;=Inputs!$B$32)+(((X$2-$B$2:$M$2)-Inputs!$B$30)&lt;Inputs!$B$32)*((((X$2-$B$2:$M$2)-Inputs!$B$30)/MAX(Inputs!$B$32,1)&gt;Inputs!$B$33)*((X$2-$B$2:$M$2)-Inputs!$B$30)/MAX(Inputs!$B$32,1)+(((X$2-$B$2:$M$2)-Inputs!$B$30)/MAX(Inputs!$B$32,1)&lt;=Inputs!$B$33)*Inputs!$B$33)),((1-Inputs!$B$34)^(1/12))^(X$2-$B$2:$M$2)))*'Rep capacity'!$B$13*Inputs!$B$28</f>
        <v>146072.4523</v>
      </c>
      <c r="Y68" s="70">
        <f>(Inputs!$B$31*((1-Inputs!$B$34)^(1/12))^Y$2+SUMPRODUCT($B73:$M73,((((Y$2-$B$2:$M$2)-Inputs!$B$30)&gt;=Inputs!$B$32)+(((Y$2-$B$2:$M$2)-Inputs!$B$30)&lt;Inputs!$B$32)*((((Y$2-$B$2:$M$2)-Inputs!$B$30)/MAX(Inputs!$B$32,1)&gt;Inputs!$B$33)*((Y$2-$B$2:$M$2)-Inputs!$B$30)/MAX(Inputs!$B$32,1)+(((Y$2-$B$2:$M$2)-Inputs!$B$30)/MAX(Inputs!$B$32,1)&lt;=Inputs!$B$33)*Inputs!$B$33)),((1-Inputs!$B$34)^(1/12))^(Y$2-$B$2:$M$2)))*'Rep capacity'!$B$13*Inputs!$B$28</f>
        <v>141794.643</v>
      </c>
      <c r="Z68" s="70">
        <f>SUM(B68:M68)</f>
        <v>687326.9831</v>
      </c>
      <c r="AA68" s="70">
        <f>SUM(N68:Y68)</f>
        <v>2014287.455</v>
      </c>
    </row>
    <row r="69" outlineLevel="1">
      <c r="A69" s="6" t="s">
        <v>322</v>
      </c>
      <c r="B69" s="70">
        <f>Inputs!$B$8*Inputs!$B$18*(1+(Inputs!$B$37-Inputs!$B$36-Inputs!$B$35)/12)+B68</f>
        <v>2755845.784</v>
      </c>
      <c r="C69" s="70">
        <f>B69*(1+(Inputs!$B$37-Inputs!$B$36-Inputs!$B$35)/12)+C68</f>
        <v>2809493.942</v>
      </c>
      <c r="D69" s="70">
        <f>C69*(1+(Inputs!$B$37-Inputs!$B$36-Inputs!$B$35)/12)+D68</f>
        <v>2861011.174</v>
      </c>
      <c r="E69" s="70">
        <f>D69*(1+(Inputs!$B$37-Inputs!$B$36-Inputs!$B$35)/12)+E68</f>
        <v>2910462.219</v>
      </c>
      <c r="F69" s="70">
        <f>E69*(1+(Inputs!$B$37-Inputs!$B$36-Inputs!$B$35)/12)+F68</f>
        <v>2957909.908</v>
      </c>
      <c r="G69" s="70">
        <f>F69*(1+(Inputs!$B$37-Inputs!$B$36-Inputs!$B$35)/12)+G68</f>
        <v>3003415.225</v>
      </c>
      <c r="H69" s="70">
        <f>G69*(1+(Inputs!$B$37-Inputs!$B$36-Inputs!$B$35)/12)+H68</f>
        <v>3047037.355</v>
      </c>
      <c r="I69" s="70">
        <f>H69*(1+(Inputs!$B$37-Inputs!$B$36-Inputs!$B$35)/12)+I68</f>
        <v>3088833.744</v>
      </c>
      <c r="J69" s="70">
        <f>I69*(1+(Inputs!$B$37-Inputs!$B$36-Inputs!$B$35)/12)+J68</f>
        <v>3128860.142</v>
      </c>
      <c r="K69" s="70">
        <f>J69*(1+(Inputs!$B$37-Inputs!$B$36-Inputs!$B$35)/12)+K68</f>
        <v>3167170.661</v>
      </c>
      <c r="L69" s="70">
        <f>K69*(1+(Inputs!$B$37-Inputs!$B$36-Inputs!$B$35)/12)+L68</f>
        <v>3203817.816</v>
      </c>
      <c r="M69" s="70">
        <f>L69*(1+(Inputs!$B$37-Inputs!$B$36-Inputs!$B$35)/12)+M68</f>
        <v>3238852.575</v>
      </c>
      <c r="N69" s="70">
        <f>ARR!$M$46*(1+(Inputs!$B$37-Inputs!$B$36-Inputs!$B$35)/12)+N68</f>
        <v>4855212.092</v>
      </c>
      <c r="O69" s="70">
        <f>N69*(1+(Inputs!$B$37-Inputs!$B$36-Inputs!$B$35)/12)+O68</f>
        <v>5025855.169</v>
      </c>
      <c r="P69" s="70">
        <f>O69*(1+(Inputs!$B$37-Inputs!$B$36-Inputs!$B$35)/12)+P68</f>
        <v>5190197.413</v>
      </c>
      <c r="Q69" s="70">
        <f>P69*(1+(Inputs!$B$37-Inputs!$B$36-Inputs!$B$35)/12)+Q68</f>
        <v>5348428.778</v>
      </c>
      <c r="R69" s="70">
        <f>Q69*(1+(Inputs!$B$37-Inputs!$B$36-Inputs!$B$35)/12)+R68</f>
        <v>5500733.632</v>
      </c>
      <c r="S69" s="70">
        <f>R69*(1+(Inputs!$B$37-Inputs!$B$36-Inputs!$B$35)/12)+S68</f>
        <v>5647290.922</v>
      </c>
      <c r="T69" s="70">
        <f>S69*(1+(Inputs!$B$37-Inputs!$B$36-Inputs!$B$35)/12)+T68</f>
        <v>5788274.333</v>
      </c>
      <c r="U69" s="70">
        <f>T69*(1+(Inputs!$B$37-Inputs!$B$36-Inputs!$B$35)/12)+U68</f>
        <v>5923852.44</v>
      </c>
      <c r="V69" s="70">
        <f>U69*(1+(Inputs!$B$37-Inputs!$B$36-Inputs!$B$35)/12)+V68</f>
        <v>6054188.858</v>
      </c>
      <c r="W69" s="70">
        <f>V69*(1+(Inputs!$B$37-Inputs!$B$36-Inputs!$B$35)/12)+W68</f>
        <v>6179442.39</v>
      </c>
      <c r="X69" s="70">
        <f>W69*(1+(Inputs!$B$37-Inputs!$B$36-Inputs!$B$35)/12)+X68</f>
        <v>6299767.165</v>
      </c>
      <c r="Y69" s="70">
        <f>X69*(1+(Inputs!$B$37-Inputs!$B$36-Inputs!$B$35)/12)+Y68</f>
        <v>6415312.779</v>
      </c>
      <c r="Z69" s="70">
        <f t="shared" ref="Z69:Z70" si="39">M69</f>
        <v>3238852.575</v>
      </c>
      <c r="AA69" s="70">
        <f t="shared" ref="AA69:AA70" si="40">Y69</f>
        <v>6415312.779</v>
      </c>
    </row>
    <row r="70" outlineLevel="1">
      <c r="A70" s="6" t="s">
        <v>323</v>
      </c>
      <c r="B70" s="70">
        <f t="shared" ref="B70:M70" si="37">MAX(0,$M67-$M69)</f>
        <v>1261147.425</v>
      </c>
      <c r="C70" s="70">
        <f t="shared" si="37"/>
        <v>1261147.425</v>
      </c>
      <c r="D70" s="70">
        <f t="shared" si="37"/>
        <v>1261147.425</v>
      </c>
      <c r="E70" s="70">
        <f t="shared" si="37"/>
        <v>1261147.425</v>
      </c>
      <c r="F70" s="70">
        <f t="shared" si="37"/>
        <v>1261147.425</v>
      </c>
      <c r="G70" s="70">
        <f t="shared" si="37"/>
        <v>1261147.425</v>
      </c>
      <c r="H70" s="70">
        <f t="shared" si="37"/>
        <v>1261147.425</v>
      </c>
      <c r="I70" s="70">
        <f t="shared" si="37"/>
        <v>1261147.425</v>
      </c>
      <c r="J70" s="70">
        <f t="shared" si="37"/>
        <v>1261147.425</v>
      </c>
      <c r="K70" s="70">
        <f t="shared" si="37"/>
        <v>1261147.425</v>
      </c>
      <c r="L70" s="70">
        <f t="shared" si="37"/>
        <v>1261147.425</v>
      </c>
      <c r="M70" s="70">
        <f t="shared" si="37"/>
        <v>1261147.425</v>
      </c>
      <c r="N70" s="70">
        <f t="shared" ref="N70:Y70" si="38">MAX(0,$Y67-$Y69)</f>
        <v>484687.2215</v>
      </c>
      <c r="O70" s="70">
        <f t="shared" si="38"/>
        <v>484687.2215</v>
      </c>
      <c r="P70" s="70">
        <f t="shared" si="38"/>
        <v>484687.2215</v>
      </c>
      <c r="Q70" s="70">
        <f t="shared" si="38"/>
        <v>484687.2215</v>
      </c>
      <c r="R70" s="70">
        <f t="shared" si="38"/>
        <v>484687.2215</v>
      </c>
      <c r="S70" s="70">
        <f t="shared" si="38"/>
        <v>484687.2215</v>
      </c>
      <c r="T70" s="70">
        <f t="shared" si="38"/>
        <v>484687.2215</v>
      </c>
      <c r="U70" s="70">
        <f t="shared" si="38"/>
        <v>484687.2215</v>
      </c>
      <c r="V70" s="70">
        <f t="shared" si="38"/>
        <v>484687.2215</v>
      </c>
      <c r="W70" s="70">
        <f t="shared" si="38"/>
        <v>484687.2215</v>
      </c>
      <c r="X70" s="70">
        <f t="shared" si="38"/>
        <v>484687.2215</v>
      </c>
      <c r="Y70" s="70">
        <f t="shared" si="38"/>
        <v>484687.2215</v>
      </c>
      <c r="Z70" s="70">
        <f t="shared" si="39"/>
        <v>1261147.425</v>
      </c>
      <c r="AA70" s="70">
        <f t="shared" si="40"/>
        <v>484687.2215</v>
      </c>
    </row>
    <row r="71" outlineLevel="1">
      <c r="A71" s="6" t="s">
        <v>324</v>
      </c>
      <c r="B71" s="70">
        <f>'Rep capacity'!$B$13*Inputs!$B$28*SUMPRODUCT((($B$2:$M$2-1)&lt;=12-B$2)*(((($B$2:$M$2-1)-Inputs!$B$30)&gt;=Inputs!$B$32)+((($B$2:$M$2-1)-Inputs!$B$30)&lt;Inputs!$B$32)*(((($B$2:$M$2-1)-Inputs!$B$30)/MAX(Inputs!$B$32,1)&gt;Inputs!$B$33)*(($B$2:$M$2-1)-Inputs!$B$30)/MAX(Inputs!$B$32,1)+((($B$2:$M$2-1)-Inputs!$B$30)/MAX(Inputs!$B$32,1)&lt;=Inputs!$B$33)*Inputs!$B$33))*((1-Inputs!$B$34)^(1/12))^($B$2:$M$2-1)*(1+(Inputs!$B$37-Inputs!$B$36-Inputs!$B$35)/12)^(12-B$2-($B$2:$M$2-1)))</f>
        <v>264652.653</v>
      </c>
      <c r="C71" s="70">
        <f>'Rep capacity'!$B$13*Inputs!$B$28*SUMPRODUCT((($B$2:$M$2-1)&lt;=12-C$2)*(((($B$2:$M$2-1)-Inputs!$B$30)&gt;=Inputs!$B$32)+((($B$2:$M$2-1)-Inputs!$B$30)&lt;Inputs!$B$32)*(((($B$2:$M$2-1)-Inputs!$B$30)/MAX(Inputs!$B$32,1)&gt;Inputs!$B$33)*(($B$2:$M$2-1)-Inputs!$B$30)/MAX(Inputs!$B$32,1)+((($B$2:$M$2-1)-Inputs!$B$30)/MAX(Inputs!$B$32,1)&lt;=Inputs!$B$33)*Inputs!$B$33))*((1-Inputs!$B$34)^(1/12))^($B$2:$M$2-1)*(1+(Inputs!$B$37-Inputs!$B$36-Inputs!$B$35)/12)^(12-C$2-($B$2:$M$2-1)))</f>
        <v>240733.8611</v>
      </c>
      <c r="D71" s="70">
        <f>'Rep capacity'!$B$13*Inputs!$B$28*SUMPRODUCT((($B$2:$M$2-1)&lt;=12-D$2)*(((($B$2:$M$2-1)-Inputs!$B$30)&gt;=Inputs!$B$32)+((($B$2:$M$2-1)-Inputs!$B$30)&lt;Inputs!$B$32)*(((($B$2:$M$2-1)-Inputs!$B$30)/MAX(Inputs!$B$32,1)&gt;Inputs!$B$33)*(($B$2:$M$2-1)-Inputs!$B$30)/MAX(Inputs!$B$32,1)+((($B$2:$M$2-1)-Inputs!$B$30)/MAX(Inputs!$B$32,1)&lt;=Inputs!$B$33)*Inputs!$B$33))*((1-Inputs!$B$34)^(1/12))^($B$2:$M$2-1)*(1+(Inputs!$B$37-Inputs!$B$36-Inputs!$B$35)/12)^(12-D$2-($B$2:$M$2-1)))</f>
        <v>215959.9763</v>
      </c>
      <c r="E71" s="70">
        <f>'Rep capacity'!$B$13*Inputs!$B$28*SUMPRODUCT((($B$2:$M$2-1)&lt;=12-E$2)*(((($B$2:$M$2-1)-Inputs!$B$30)&gt;=Inputs!$B$32)+((($B$2:$M$2-1)-Inputs!$B$30)&lt;Inputs!$B$32)*(((($B$2:$M$2-1)-Inputs!$B$30)/MAX(Inputs!$B$32,1)&gt;Inputs!$B$33)*(($B$2:$M$2-1)-Inputs!$B$30)/MAX(Inputs!$B$32,1)+((($B$2:$M$2-1)-Inputs!$B$30)/MAX(Inputs!$B$32,1)&lt;=Inputs!$B$33)*Inputs!$B$33))*((1-Inputs!$B$34)^(1/12))^($B$2:$M$2-1)*(1+(Inputs!$B$37-Inputs!$B$36-Inputs!$B$35)/12)^(12-E$2-($B$2:$M$2-1)))</f>
        <v>190304.6427</v>
      </c>
      <c r="F71" s="70">
        <f>'Rep capacity'!$B$13*Inputs!$B$28*SUMPRODUCT((($B$2:$M$2-1)&lt;=12-F$2)*(((($B$2:$M$2-1)-Inputs!$B$30)&gt;=Inputs!$B$32)+((($B$2:$M$2-1)-Inputs!$B$30)&lt;Inputs!$B$32)*(((($B$2:$M$2-1)-Inputs!$B$30)/MAX(Inputs!$B$32,1)&gt;Inputs!$B$33)*(($B$2:$M$2-1)-Inputs!$B$30)/MAX(Inputs!$B$32,1)+((($B$2:$M$2-1)-Inputs!$B$30)/MAX(Inputs!$B$32,1)&lt;=Inputs!$B$33)*Inputs!$B$33))*((1-Inputs!$B$34)^(1/12))^($B$2:$M$2-1)*(1+(Inputs!$B$37-Inputs!$B$36-Inputs!$B$35)/12)^(12-F$2-($B$2:$M$2-1)))</f>
        <v>163740.7069</v>
      </c>
      <c r="G71" s="70">
        <f>'Rep capacity'!$B$13*Inputs!$B$28*SUMPRODUCT((($B$2:$M$2-1)&lt;=12-G$2)*(((($B$2:$M$2-1)-Inputs!$B$30)&gt;=Inputs!$B$32)+((($B$2:$M$2-1)-Inputs!$B$30)&lt;Inputs!$B$32)*(((($B$2:$M$2-1)-Inputs!$B$30)/MAX(Inputs!$B$32,1)&gt;Inputs!$B$33)*(($B$2:$M$2-1)-Inputs!$B$30)/MAX(Inputs!$B$32,1)+((($B$2:$M$2-1)-Inputs!$B$30)/MAX(Inputs!$B$32,1)&lt;=Inputs!$B$33)*Inputs!$B$33))*((1-Inputs!$B$34)^(1/12))^($B$2:$M$2-1)*(1+(Inputs!$B$37-Inputs!$B$36-Inputs!$B$35)/12)^(12-G$2-($B$2:$M$2-1)))</f>
        <v>136240.1941</v>
      </c>
      <c r="H71" s="70">
        <f>'Rep capacity'!$B$13*Inputs!$B$28*SUMPRODUCT((($B$2:$M$2-1)&lt;=12-H$2)*(((($B$2:$M$2-1)-Inputs!$B$30)&gt;=Inputs!$B$32)+((($B$2:$M$2-1)-Inputs!$B$30)&lt;Inputs!$B$32)*(((($B$2:$M$2-1)-Inputs!$B$30)/MAX(Inputs!$B$32,1)&gt;Inputs!$B$33)*(($B$2:$M$2-1)-Inputs!$B$30)/MAX(Inputs!$B$32,1)+((($B$2:$M$2-1)-Inputs!$B$30)/MAX(Inputs!$B$32,1)&lt;=Inputs!$B$33)*Inputs!$B$33))*((1-Inputs!$B$34)^(1/12))^($B$2:$M$2-1)*(1+(Inputs!$B$37-Inputs!$B$36-Inputs!$B$35)/12)^(12-H$2-($B$2:$M$2-1)))</f>
        <v>107774.2831</v>
      </c>
      <c r="I71" s="70">
        <f>'Rep capacity'!$B$13*Inputs!$B$28*SUMPRODUCT((($B$2:$M$2-1)&lt;=12-I$2)*(((($B$2:$M$2-1)-Inputs!$B$30)&gt;=Inputs!$B$32)+((($B$2:$M$2-1)-Inputs!$B$30)&lt;Inputs!$B$32)*(((($B$2:$M$2-1)-Inputs!$B$30)/MAX(Inputs!$B$32,1)&gt;Inputs!$B$33)*(($B$2:$M$2-1)-Inputs!$B$30)/MAX(Inputs!$B$32,1)+((($B$2:$M$2-1)-Inputs!$B$30)/MAX(Inputs!$B$32,1)&lt;=Inputs!$B$33)*Inputs!$B$33))*((1-Inputs!$B$34)^(1/12))^($B$2:$M$2-1)*(1+(Inputs!$B$37-Inputs!$B$36-Inputs!$B$35)/12)^(12-I$2-($B$2:$M$2-1)))</f>
        <v>78313.28085</v>
      </c>
      <c r="J71" s="70">
        <f>'Rep capacity'!$B$13*Inputs!$B$28*SUMPRODUCT((($B$2:$M$2-1)&lt;=12-J$2)*(((($B$2:$M$2-1)-Inputs!$B$30)&gt;=Inputs!$B$32)+((($B$2:$M$2-1)-Inputs!$B$30)&lt;Inputs!$B$32)*(((($B$2:$M$2-1)-Inputs!$B$30)/MAX(Inputs!$B$32,1)&gt;Inputs!$B$33)*(($B$2:$M$2-1)-Inputs!$B$30)/MAX(Inputs!$B$32,1)+((($B$2:$M$2-1)-Inputs!$B$30)/MAX(Inputs!$B$32,1)&lt;=Inputs!$B$33)*Inputs!$B$33))*((1-Inputs!$B$34)^(1/12))^($B$2:$M$2-1)*(1+(Inputs!$B$37-Inputs!$B$36-Inputs!$B$35)/12)^(12-J$2-($B$2:$M$2-1)))</f>
        <v>47826.59603</v>
      </c>
      <c r="K71" s="70">
        <f>'Rep capacity'!$B$13*Inputs!$B$28*SUMPRODUCT((($B$2:$M$2-1)&lt;=12-K$2)*(((($B$2:$M$2-1)-Inputs!$B$30)&gt;=Inputs!$B$32)+((($B$2:$M$2-1)-Inputs!$B$30)&lt;Inputs!$B$32)*(((($B$2:$M$2-1)-Inputs!$B$30)/MAX(Inputs!$B$32,1)&gt;Inputs!$B$33)*(($B$2:$M$2-1)-Inputs!$B$30)/MAX(Inputs!$B$32,1)+((($B$2:$M$2-1)-Inputs!$B$30)/MAX(Inputs!$B$32,1)&lt;=Inputs!$B$33)*Inputs!$B$33))*((1-Inputs!$B$34)^(1/12))^($B$2:$M$2-1)*(1+(Inputs!$B$37-Inputs!$B$36-Inputs!$B$35)/12)^(12-K$2-($B$2:$M$2-1)))</f>
        <v>16282.71213</v>
      </c>
      <c r="L71" s="70">
        <f>'Rep capacity'!$B$13*Inputs!$B$28*SUMPRODUCT((($B$2:$M$2-1)&lt;=12-L$2)*(((($B$2:$M$2-1)-Inputs!$B$30)&gt;=Inputs!$B$32)+((($B$2:$M$2-1)-Inputs!$B$30)&lt;Inputs!$B$32)*(((($B$2:$M$2-1)-Inputs!$B$30)/MAX(Inputs!$B$32,1)&gt;Inputs!$B$33)*(($B$2:$M$2-1)-Inputs!$B$30)/MAX(Inputs!$B$32,1)+((($B$2:$M$2-1)-Inputs!$B$30)/MAX(Inputs!$B$32,1)&lt;=Inputs!$B$33)*Inputs!$B$33))*((1-Inputs!$B$34)^(1/12))^($B$2:$M$2-1)*(1+(Inputs!$B$37-Inputs!$B$36-Inputs!$B$35)/12)^(12-L$2-($B$2:$M$2-1)))</f>
        <v>0</v>
      </c>
      <c r="M71" s="70">
        <f>'Rep capacity'!$B$13*Inputs!$B$28*SUMPRODUCT((($B$2:$M$2-1)&lt;=12-M$2)*(((($B$2:$M$2-1)-Inputs!$B$30)&gt;=Inputs!$B$32)+((($B$2:$M$2-1)-Inputs!$B$30)&lt;Inputs!$B$32)*(((($B$2:$M$2-1)-Inputs!$B$30)/MAX(Inputs!$B$32,1)&gt;Inputs!$B$33)*(($B$2:$M$2-1)-Inputs!$B$30)/MAX(Inputs!$B$32,1)+((($B$2:$M$2-1)-Inputs!$B$30)/MAX(Inputs!$B$32,1)&lt;=Inputs!$B$33)*Inputs!$B$33))*((1-Inputs!$B$34)^(1/12))^($B$2:$M$2-1)*(1+(Inputs!$B$37-Inputs!$B$36-Inputs!$B$35)/12)^(12-M$2-($B$2:$M$2-1)))</f>
        <v>0</v>
      </c>
      <c r="N71" s="70">
        <f>'Rep capacity'!$B$13*Inputs!$B$28*SUMPRODUCT((($B$2:$M$2-1)&lt;=24-N$2)*(((($B$2:$M$2-1)-Inputs!$B$30)&gt;=Inputs!$B$32)+((($B$2:$M$2-1)-Inputs!$B$30)&lt;Inputs!$B$32)*(((($B$2:$M$2-1)-Inputs!$B$30)/MAX(Inputs!$B$32,1)&gt;Inputs!$B$33)*(($B$2:$M$2-1)-Inputs!$B$30)/MAX(Inputs!$B$32,1)+((($B$2:$M$2-1)-Inputs!$B$30)/MAX(Inputs!$B$32,1)&lt;=Inputs!$B$33)*Inputs!$B$33))*((1-Inputs!$B$34)^(1/12))^($B$2:$M$2-1)*(1+(Inputs!$B$37-Inputs!$B$36-Inputs!$B$35)/12)^(24-N$2-($B$2:$M$2-1)))</f>
        <v>264652.653</v>
      </c>
      <c r="O71" s="70">
        <f>'Rep capacity'!$B$13*Inputs!$B$28*SUMPRODUCT((($B$2:$M$2-1)&lt;=24-O$2)*(((($B$2:$M$2-1)-Inputs!$B$30)&gt;=Inputs!$B$32)+((($B$2:$M$2-1)-Inputs!$B$30)&lt;Inputs!$B$32)*(((($B$2:$M$2-1)-Inputs!$B$30)/MAX(Inputs!$B$32,1)&gt;Inputs!$B$33)*(($B$2:$M$2-1)-Inputs!$B$30)/MAX(Inputs!$B$32,1)+((($B$2:$M$2-1)-Inputs!$B$30)/MAX(Inputs!$B$32,1)&lt;=Inputs!$B$33)*Inputs!$B$33))*((1-Inputs!$B$34)^(1/12))^($B$2:$M$2-1)*(1+(Inputs!$B$37-Inputs!$B$36-Inputs!$B$35)/12)^(24-O$2-($B$2:$M$2-1)))</f>
        <v>240733.8611</v>
      </c>
      <c r="P71" s="70">
        <f>'Rep capacity'!$B$13*Inputs!$B$28*SUMPRODUCT((($B$2:$M$2-1)&lt;=24-P$2)*(((($B$2:$M$2-1)-Inputs!$B$30)&gt;=Inputs!$B$32)+((($B$2:$M$2-1)-Inputs!$B$30)&lt;Inputs!$B$32)*(((($B$2:$M$2-1)-Inputs!$B$30)/MAX(Inputs!$B$32,1)&gt;Inputs!$B$33)*(($B$2:$M$2-1)-Inputs!$B$30)/MAX(Inputs!$B$32,1)+((($B$2:$M$2-1)-Inputs!$B$30)/MAX(Inputs!$B$32,1)&lt;=Inputs!$B$33)*Inputs!$B$33))*((1-Inputs!$B$34)^(1/12))^($B$2:$M$2-1)*(1+(Inputs!$B$37-Inputs!$B$36-Inputs!$B$35)/12)^(24-P$2-($B$2:$M$2-1)))</f>
        <v>215959.9763</v>
      </c>
      <c r="Q71" s="70">
        <f>'Rep capacity'!$B$13*Inputs!$B$28*SUMPRODUCT((($B$2:$M$2-1)&lt;=24-Q$2)*(((($B$2:$M$2-1)-Inputs!$B$30)&gt;=Inputs!$B$32)+((($B$2:$M$2-1)-Inputs!$B$30)&lt;Inputs!$B$32)*(((($B$2:$M$2-1)-Inputs!$B$30)/MAX(Inputs!$B$32,1)&gt;Inputs!$B$33)*(($B$2:$M$2-1)-Inputs!$B$30)/MAX(Inputs!$B$32,1)+((($B$2:$M$2-1)-Inputs!$B$30)/MAX(Inputs!$B$32,1)&lt;=Inputs!$B$33)*Inputs!$B$33))*((1-Inputs!$B$34)^(1/12))^($B$2:$M$2-1)*(1+(Inputs!$B$37-Inputs!$B$36-Inputs!$B$35)/12)^(24-Q$2-($B$2:$M$2-1)))</f>
        <v>190304.6427</v>
      </c>
      <c r="R71" s="70">
        <f>'Rep capacity'!$B$13*Inputs!$B$28*SUMPRODUCT((($B$2:$M$2-1)&lt;=24-R$2)*(((($B$2:$M$2-1)-Inputs!$B$30)&gt;=Inputs!$B$32)+((($B$2:$M$2-1)-Inputs!$B$30)&lt;Inputs!$B$32)*(((($B$2:$M$2-1)-Inputs!$B$30)/MAX(Inputs!$B$32,1)&gt;Inputs!$B$33)*(($B$2:$M$2-1)-Inputs!$B$30)/MAX(Inputs!$B$32,1)+((($B$2:$M$2-1)-Inputs!$B$30)/MAX(Inputs!$B$32,1)&lt;=Inputs!$B$33)*Inputs!$B$33))*((1-Inputs!$B$34)^(1/12))^($B$2:$M$2-1)*(1+(Inputs!$B$37-Inputs!$B$36-Inputs!$B$35)/12)^(24-R$2-($B$2:$M$2-1)))</f>
        <v>163740.7069</v>
      </c>
      <c r="S71" s="70">
        <f>'Rep capacity'!$B$13*Inputs!$B$28*SUMPRODUCT((($B$2:$M$2-1)&lt;=24-S$2)*(((($B$2:$M$2-1)-Inputs!$B$30)&gt;=Inputs!$B$32)+((($B$2:$M$2-1)-Inputs!$B$30)&lt;Inputs!$B$32)*(((($B$2:$M$2-1)-Inputs!$B$30)/MAX(Inputs!$B$32,1)&gt;Inputs!$B$33)*(($B$2:$M$2-1)-Inputs!$B$30)/MAX(Inputs!$B$32,1)+((($B$2:$M$2-1)-Inputs!$B$30)/MAX(Inputs!$B$32,1)&lt;=Inputs!$B$33)*Inputs!$B$33))*((1-Inputs!$B$34)^(1/12))^($B$2:$M$2-1)*(1+(Inputs!$B$37-Inputs!$B$36-Inputs!$B$35)/12)^(24-S$2-($B$2:$M$2-1)))</f>
        <v>136240.1941</v>
      </c>
      <c r="T71" s="70">
        <f>'Rep capacity'!$B$13*Inputs!$B$28*SUMPRODUCT((($B$2:$M$2-1)&lt;=24-T$2)*(((($B$2:$M$2-1)-Inputs!$B$30)&gt;=Inputs!$B$32)+((($B$2:$M$2-1)-Inputs!$B$30)&lt;Inputs!$B$32)*(((($B$2:$M$2-1)-Inputs!$B$30)/MAX(Inputs!$B$32,1)&gt;Inputs!$B$33)*(($B$2:$M$2-1)-Inputs!$B$30)/MAX(Inputs!$B$32,1)+((($B$2:$M$2-1)-Inputs!$B$30)/MAX(Inputs!$B$32,1)&lt;=Inputs!$B$33)*Inputs!$B$33))*((1-Inputs!$B$34)^(1/12))^($B$2:$M$2-1)*(1+(Inputs!$B$37-Inputs!$B$36-Inputs!$B$35)/12)^(24-T$2-($B$2:$M$2-1)))</f>
        <v>107774.2831</v>
      </c>
      <c r="U71" s="70">
        <f>'Rep capacity'!$B$13*Inputs!$B$28*SUMPRODUCT((($B$2:$M$2-1)&lt;=24-U$2)*(((($B$2:$M$2-1)-Inputs!$B$30)&gt;=Inputs!$B$32)+((($B$2:$M$2-1)-Inputs!$B$30)&lt;Inputs!$B$32)*(((($B$2:$M$2-1)-Inputs!$B$30)/MAX(Inputs!$B$32,1)&gt;Inputs!$B$33)*(($B$2:$M$2-1)-Inputs!$B$30)/MAX(Inputs!$B$32,1)+((($B$2:$M$2-1)-Inputs!$B$30)/MAX(Inputs!$B$32,1)&lt;=Inputs!$B$33)*Inputs!$B$33))*((1-Inputs!$B$34)^(1/12))^($B$2:$M$2-1)*(1+(Inputs!$B$37-Inputs!$B$36-Inputs!$B$35)/12)^(24-U$2-($B$2:$M$2-1)))</f>
        <v>78313.28085</v>
      </c>
      <c r="V71" s="70">
        <f>'Rep capacity'!$B$13*Inputs!$B$28*SUMPRODUCT((($B$2:$M$2-1)&lt;=24-V$2)*(((($B$2:$M$2-1)-Inputs!$B$30)&gt;=Inputs!$B$32)+((($B$2:$M$2-1)-Inputs!$B$30)&lt;Inputs!$B$32)*(((($B$2:$M$2-1)-Inputs!$B$30)/MAX(Inputs!$B$32,1)&gt;Inputs!$B$33)*(($B$2:$M$2-1)-Inputs!$B$30)/MAX(Inputs!$B$32,1)+((($B$2:$M$2-1)-Inputs!$B$30)/MAX(Inputs!$B$32,1)&lt;=Inputs!$B$33)*Inputs!$B$33))*((1-Inputs!$B$34)^(1/12))^($B$2:$M$2-1)*(1+(Inputs!$B$37-Inputs!$B$36-Inputs!$B$35)/12)^(24-V$2-($B$2:$M$2-1)))</f>
        <v>47826.59603</v>
      </c>
      <c r="W71" s="70">
        <f>'Rep capacity'!$B$13*Inputs!$B$28*SUMPRODUCT((($B$2:$M$2-1)&lt;=24-W$2)*(((($B$2:$M$2-1)-Inputs!$B$30)&gt;=Inputs!$B$32)+((($B$2:$M$2-1)-Inputs!$B$30)&lt;Inputs!$B$32)*(((($B$2:$M$2-1)-Inputs!$B$30)/MAX(Inputs!$B$32,1)&gt;Inputs!$B$33)*(($B$2:$M$2-1)-Inputs!$B$30)/MAX(Inputs!$B$32,1)+((($B$2:$M$2-1)-Inputs!$B$30)/MAX(Inputs!$B$32,1)&lt;=Inputs!$B$33)*Inputs!$B$33))*((1-Inputs!$B$34)^(1/12))^($B$2:$M$2-1)*(1+(Inputs!$B$37-Inputs!$B$36-Inputs!$B$35)/12)^(24-W$2-($B$2:$M$2-1)))</f>
        <v>16282.71213</v>
      </c>
      <c r="X71" s="70">
        <f>'Rep capacity'!$B$13*Inputs!$B$28*SUMPRODUCT((($B$2:$M$2-1)&lt;=24-X$2)*(((($B$2:$M$2-1)-Inputs!$B$30)&gt;=Inputs!$B$32)+((($B$2:$M$2-1)-Inputs!$B$30)&lt;Inputs!$B$32)*(((($B$2:$M$2-1)-Inputs!$B$30)/MAX(Inputs!$B$32,1)&gt;Inputs!$B$33)*(($B$2:$M$2-1)-Inputs!$B$30)/MAX(Inputs!$B$32,1)+((($B$2:$M$2-1)-Inputs!$B$30)/MAX(Inputs!$B$32,1)&lt;=Inputs!$B$33)*Inputs!$B$33))*((1-Inputs!$B$34)^(1/12))^($B$2:$M$2-1)*(1+(Inputs!$B$37-Inputs!$B$36-Inputs!$B$35)/12)^(24-X$2-($B$2:$M$2-1)))</f>
        <v>0</v>
      </c>
      <c r="Y71" s="70">
        <f>'Rep capacity'!$B$13*Inputs!$B$28*SUMPRODUCT((($B$2:$M$2-1)&lt;=24-Y$2)*(((($B$2:$M$2-1)-Inputs!$B$30)&gt;=Inputs!$B$32)+((($B$2:$M$2-1)-Inputs!$B$30)&lt;Inputs!$B$32)*(((($B$2:$M$2-1)-Inputs!$B$30)/MAX(Inputs!$B$32,1)&gt;Inputs!$B$33)*(($B$2:$M$2-1)-Inputs!$B$30)/MAX(Inputs!$B$32,1)+((($B$2:$M$2-1)-Inputs!$B$30)/MAX(Inputs!$B$32,1)&lt;=Inputs!$B$33)*Inputs!$B$33))*((1-Inputs!$B$34)^(1/12))^($B$2:$M$2-1)*(1+(Inputs!$B$37-Inputs!$B$36-Inputs!$B$35)/12)^(24-Y$2-($B$2:$M$2-1)))</f>
        <v>0</v>
      </c>
      <c r="Z71" s="70"/>
      <c r="AA71" s="70"/>
    </row>
    <row r="72" outlineLevel="1">
      <c r="A72" s="6" t="s">
        <v>325</v>
      </c>
      <c r="B72" s="74">
        <v>0.0</v>
      </c>
      <c r="C72" s="70">
        <f t="shared" ref="C72:M72" si="41">SUMPRODUCT($B73:B73,$B71:B71)</f>
        <v>1058610.612</v>
      </c>
      <c r="D72" s="70">
        <f t="shared" si="41"/>
        <v>1058610.612</v>
      </c>
      <c r="E72" s="70">
        <f t="shared" si="41"/>
        <v>1058610.612</v>
      </c>
      <c r="F72" s="70">
        <f t="shared" si="41"/>
        <v>1439219.897</v>
      </c>
      <c r="G72" s="70">
        <f t="shared" si="41"/>
        <v>1439219.897</v>
      </c>
      <c r="H72" s="70">
        <f t="shared" si="41"/>
        <v>1439219.897</v>
      </c>
      <c r="I72" s="70">
        <f t="shared" si="41"/>
        <v>1439219.897</v>
      </c>
      <c r="J72" s="70">
        <f t="shared" si="41"/>
        <v>1439219.897</v>
      </c>
      <c r="K72" s="70">
        <f t="shared" si="41"/>
        <v>1439219.897</v>
      </c>
      <c r="L72" s="70">
        <f t="shared" si="41"/>
        <v>1439219.897</v>
      </c>
      <c r="M72" s="70">
        <f t="shared" si="41"/>
        <v>1439219.897</v>
      </c>
      <c r="N72" s="74">
        <v>0.0</v>
      </c>
      <c r="O72" s="70">
        <f t="shared" ref="O72:Y72" si="42">SUMPRODUCT($N73:N73,$N71:N71)</f>
        <v>529305.3059</v>
      </c>
      <c r="P72" s="70">
        <f t="shared" si="42"/>
        <v>529305.3059</v>
      </c>
      <c r="Q72" s="70">
        <f t="shared" si="42"/>
        <v>529305.3059</v>
      </c>
      <c r="R72" s="70">
        <f t="shared" si="42"/>
        <v>529305.3059</v>
      </c>
      <c r="S72" s="70">
        <f t="shared" si="42"/>
        <v>529305.3059</v>
      </c>
      <c r="T72" s="70">
        <f t="shared" si="42"/>
        <v>529305.3059</v>
      </c>
      <c r="U72" s="70">
        <f t="shared" si="42"/>
        <v>529305.3059</v>
      </c>
      <c r="V72" s="70">
        <f t="shared" si="42"/>
        <v>529305.3059</v>
      </c>
      <c r="W72" s="70">
        <f t="shared" si="42"/>
        <v>529305.3059</v>
      </c>
      <c r="X72" s="70">
        <f t="shared" si="42"/>
        <v>529305.3059</v>
      </c>
      <c r="Y72" s="70">
        <f t="shared" si="42"/>
        <v>529305.3059</v>
      </c>
      <c r="Z72" s="70">
        <f>SUMPRODUCT(B73:M73,B71:M71)</f>
        <v>1439219.897</v>
      </c>
      <c r="AA72" s="70">
        <f>SUMPRODUCT(N73:Y73,N71:Y71)</f>
        <v>529305.3059</v>
      </c>
    </row>
    <row r="73" outlineLevel="1">
      <c r="A73" s="12" t="s">
        <v>326</v>
      </c>
      <c r="B73" s="72">
        <f>IF(OR(B$2&lt;Inputs!$B$16,MOD(B$2-Inputs!$B$16,MAX(1,Inputs!$B$15))&lt;&gt;0),0,IF(B71&lt;=0,0,MAX(0,MIN(Inputs!$B$14,ROUNDUP(MAX(0,ROUND(B70-B72,0))/B71,0)))))</f>
        <v>4</v>
      </c>
      <c r="C73" s="72">
        <f>IF(OR(C$2&lt;Inputs!$B$16,MOD(C$2-Inputs!$B$16,MAX(1,Inputs!$B$15))&lt;&gt;0),0,IF(C71&lt;=0,0,MAX(0,MIN(Inputs!$B$14,ROUNDUP(MAX(0,ROUND(C70-C72,0))/C71,0)))))</f>
        <v>0</v>
      </c>
      <c r="D73" s="72">
        <f>IF(OR(D$2&lt;Inputs!$B$16,MOD(D$2-Inputs!$B$16,MAX(1,Inputs!$B$15))&lt;&gt;0),0,IF(D71&lt;=0,0,MAX(0,MIN(Inputs!$B$14,ROUNDUP(MAX(0,ROUND(D70-D72,0))/D71,0)))))</f>
        <v>0</v>
      </c>
      <c r="E73" s="72">
        <f>IF(OR(E$2&lt;Inputs!$B$16,MOD(E$2-Inputs!$B$16,MAX(1,Inputs!$B$15))&lt;&gt;0),0,IF(E71&lt;=0,0,MAX(0,MIN(Inputs!$B$14,ROUNDUP(MAX(0,ROUND(E70-E72,0))/E71,0)))))</f>
        <v>2</v>
      </c>
      <c r="F73" s="72">
        <f>IF(OR(F$2&lt;Inputs!$B$16,MOD(F$2-Inputs!$B$16,MAX(1,Inputs!$B$15))&lt;&gt;0),0,IF(F71&lt;=0,0,MAX(0,MIN(Inputs!$B$14,ROUNDUP(MAX(0,ROUND(F70-F72,0))/F71,0)))))</f>
        <v>0</v>
      </c>
      <c r="G73" s="72">
        <f>IF(OR(G$2&lt;Inputs!$B$16,MOD(G$2-Inputs!$B$16,MAX(1,Inputs!$B$15))&lt;&gt;0),0,IF(G71&lt;=0,0,MAX(0,MIN(Inputs!$B$14,ROUNDUP(MAX(0,ROUND(G70-G72,0))/G71,0)))))</f>
        <v>0</v>
      </c>
      <c r="H73" s="72">
        <f>IF(OR(H$2&lt;Inputs!$B$16,MOD(H$2-Inputs!$B$16,MAX(1,Inputs!$B$15))&lt;&gt;0),0,IF(H71&lt;=0,0,MAX(0,MIN(Inputs!$B$14,ROUNDUP(MAX(0,ROUND(H70-H72,0))/H71,0)))))</f>
        <v>0</v>
      </c>
      <c r="I73" s="72">
        <f>IF(OR(I$2&lt;Inputs!$B$16,MOD(I$2-Inputs!$B$16,MAX(1,Inputs!$B$15))&lt;&gt;0),0,IF(I71&lt;=0,0,MAX(0,MIN(Inputs!$B$14,ROUNDUP(MAX(0,ROUND(I70-I72,0))/I71,0)))))</f>
        <v>0</v>
      </c>
      <c r="J73" s="72">
        <f>IF(OR(J$2&lt;Inputs!$B$16,MOD(J$2-Inputs!$B$16,MAX(1,Inputs!$B$15))&lt;&gt;0),0,IF(J71&lt;=0,0,MAX(0,MIN(Inputs!$B$14,ROUNDUP(MAX(0,ROUND(J70-J72,0))/J71,0)))))</f>
        <v>0</v>
      </c>
      <c r="K73" s="72">
        <f>IF(OR(K$2&lt;Inputs!$B$16,MOD(K$2-Inputs!$B$16,MAX(1,Inputs!$B$15))&lt;&gt;0),0,IF(K71&lt;=0,0,MAX(0,MIN(Inputs!$B$14,ROUNDUP(MAX(0,ROUND(K70-K72,0))/K71,0)))))</f>
        <v>0</v>
      </c>
      <c r="L73" s="72">
        <f>IF(OR(L$2&lt;Inputs!$B$16,MOD(L$2-Inputs!$B$16,MAX(1,Inputs!$B$15))&lt;&gt;0),0,IF(L71&lt;=0,0,MAX(0,MIN(Inputs!$B$14,ROUNDUP(MAX(0,ROUND(L70-L72,0))/L71,0)))))</f>
        <v>0</v>
      </c>
      <c r="M73" s="72">
        <f>IF(OR(M$2&lt;Inputs!$B$16,MOD(M$2-Inputs!$B$16,MAX(1,Inputs!$B$15))&lt;&gt;0),0,IF(M71&lt;=0,0,MAX(0,MIN(Inputs!$B$14,ROUNDUP(MAX(0,ROUND(M70-M72,0))/M71,0)))))</f>
        <v>0</v>
      </c>
      <c r="N73" s="72">
        <f>IF(OR(N$2&lt;Inputs!$B$16,MOD(N$2-Inputs!$B$16,MAX(1,Inputs!$B$15))&lt;&gt;0),0,IF(N71&lt;=0,0,MAX(0,MIN(Inputs!$B$14,ROUNDUP(MAX(0,ROUND(N70-N72,0))/N71,0)))))</f>
        <v>2</v>
      </c>
      <c r="O73" s="72">
        <f>IF(OR(O$2&lt;Inputs!$B$16,MOD(O$2-Inputs!$B$16,MAX(1,Inputs!$B$15))&lt;&gt;0),0,IF(O71&lt;=0,0,MAX(0,MIN(Inputs!$B$14,ROUNDUP(MAX(0,ROUND(O70-O72,0))/O71,0)))))</f>
        <v>0</v>
      </c>
      <c r="P73" s="72">
        <f>IF(OR(P$2&lt;Inputs!$B$16,MOD(P$2-Inputs!$B$16,MAX(1,Inputs!$B$15))&lt;&gt;0),0,IF(P71&lt;=0,0,MAX(0,MIN(Inputs!$B$14,ROUNDUP(MAX(0,ROUND(P70-P72,0))/P71,0)))))</f>
        <v>0</v>
      </c>
      <c r="Q73" s="72">
        <f>IF(OR(Q$2&lt;Inputs!$B$16,MOD(Q$2-Inputs!$B$16,MAX(1,Inputs!$B$15))&lt;&gt;0),0,IF(Q71&lt;=0,0,MAX(0,MIN(Inputs!$B$14,ROUNDUP(MAX(0,ROUND(Q70-Q72,0))/Q71,0)))))</f>
        <v>0</v>
      </c>
      <c r="R73" s="72">
        <f>IF(OR(R$2&lt;Inputs!$B$16,MOD(R$2-Inputs!$B$16,MAX(1,Inputs!$B$15))&lt;&gt;0),0,IF(R71&lt;=0,0,MAX(0,MIN(Inputs!$B$14,ROUNDUP(MAX(0,ROUND(R70-R72,0))/R71,0)))))</f>
        <v>0</v>
      </c>
      <c r="S73" s="72">
        <f>IF(OR(S$2&lt;Inputs!$B$16,MOD(S$2-Inputs!$B$16,MAX(1,Inputs!$B$15))&lt;&gt;0),0,IF(S71&lt;=0,0,MAX(0,MIN(Inputs!$B$14,ROUNDUP(MAX(0,ROUND(S70-S72,0))/S71,0)))))</f>
        <v>0</v>
      </c>
      <c r="T73" s="72">
        <f>IF(OR(T$2&lt;Inputs!$B$16,MOD(T$2-Inputs!$B$16,MAX(1,Inputs!$B$15))&lt;&gt;0),0,IF(T71&lt;=0,0,MAX(0,MIN(Inputs!$B$14,ROUNDUP(MAX(0,ROUND(T70-T72,0))/T71,0)))))</f>
        <v>0</v>
      </c>
      <c r="U73" s="72">
        <f>IF(OR(U$2&lt;Inputs!$B$16,MOD(U$2-Inputs!$B$16,MAX(1,Inputs!$B$15))&lt;&gt;0),0,IF(U71&lt;=0,0,MAX(0,MIN(Inputs!$B$14,ROUNDUP(MAX(0,ROUND(U70-U72,0))/U71,0)))))</f>
        <v>0</v>
      </c>
      <c r="V73" s="72">
        <f>IF(OR(V$2&lt;Inputs!$B$16,MOD(V$2-Inputs!$B$16,MAX(1,Inputs!$B$15))&lt;&gt;0),0,IF(V71&lt;=0,0,MAX(0,MIN(Inputs!$B$14,ROUNDUP(MAX(0,ROUND(V70-V72,0))/V71,0)))))</f>
        <v>0</v>
      </c>
      <c r="W73" s="72">
        <f>IF(OR(W$2&lt;Inputs!$B$16,MOD(W$2-Inputs!$B$16,MAX(1,Inputs!$B$15))&lt;&gt;0),0,IF(W71&lt;=0,0,MAX(0,MIN(Inputs!$B$14,ROUNDUP(MAX(0,ROUND(W70-W72,0))/W71,0)))))</f>
        <v>0</v>
      </c>
      <c r="X73" s="72">
        <f>IF(OR(X$2&lt;Inputs!$B$16,MOD(X$2-Inputs!$B$16,MAX(1,Inputs!$B$15))&lt;&gt;0),0,IF(X71&lt;=0,0,MAX(0,MIN(Inputs!$B$14,ROUNDUP(MAX(0,ROUND(X70-X72,0))/X71,0)))))</f>
        <v>0</v>
      </c>
      <c r="Y73" s="72">
        <f>IF(OR(Y$2&lt;Inputs!$B$16,MOD(Y$2-Inputs!$B$16,MAX(1,Inputs!$B$15))&lt;&gt;0),0,IF(Y71&lt;=0,0,MAX(0,MIN(Inputs!$B$14,ROUNDUP(MAX(0,ROUND(Y70-Y72,0))/Y71,0)))))</f>
        <v>0</v>
      </c>
      <c r="Z73" s="72">
        <f t="shared" ref="Z73:Z74" si="43">SUM(B73:M73)</f>
        <v>6</v>
      </c>
      <c r="AA73" s="72">
        <f t="shared" ref="AA73:AA74" si="44">SUM(N73:Y73)</f>
        <v>2</v>
      </c>
    </row>
    <row r="74" outlineLevel="1">
      <c r="A74" s="6" t="s">
        <v>327</v>
      </c>
      <c r="B74" s="73">
        <f>Inputs!J$67</f>
        <v>4</v>
      </c>
      <c r="C74" s="73">
        <f>Inputs!K$67</f>
        <v>0</v>
      </c>
      <c r="D74" s="73">
        <f>Inputs!L$67</f>
        <v>0</v>
      </c>
      <c r="E74" s="73">
        <f>Inputs!M$67</f>
        <v>2</v>
      </c>
      <c r="F74" s="73">
        <f>Inputs!N$67</f>
        <v>0</v>
      </c>
      <c r="G74" s="73">
        <f>Inputs!O$67</f>
        <v>0</v>
      </c>
      <c r="H74" s="73">
        <f>Inputs!P$67</f>
        <v>0</v>
      </c>
      <c r="I74" s="73">
        <f>Inputs!Q$67</f>
        <v>0</v>
      </c>
      <c r="J74" s="73">
        <f>Inputs!R$67</f>
        <v>0</v>
      </c>
      <c r="K74" s="73">
        <f>Inputs!S$67</f>
        <v>0</v>
      </c>
      <c r="L74" s="73">
        <f>Inputs!T$67</f>
        <v>0</v>
      </c>
      <c r="M74" s="73">
        <f>Inputs!U$67</f>
        <v>0</v>
      </c>
      <c r="N74" s="73">
        <f>Inputs!V$67</f>
        <v>2</v>
      </c>
      <c r="O74" s="73">
        <f>Inputs!W$67</f>
        <v>0</v>
      </c>
      <c r="P74" s="73">
        <f>Inputs!X$67</f>
        <v>0</v>
      </c>
      <c r="Q74" s="73">
        <f>Inputs!Y$67</f>
        <v>0</v>
      </c>
      <c r="R74" s="73">
        <f>Inputs!Z$67</f>
        <v>0</v>
      </c>
      <c r="S74" s="73">
        <f>Inputs!AA$67</f>
        <v>0</v>
      </c>
      <c r="T74" s="73">
        <f>Inputs!AB$67</f>
        <v>0</v>
      </c>
      <c r="U74" s="73">
        <f>Inputs!AC$67</f>
        <v>0</v>
      </c>
      <c r="V74" s="73">
        <f>Inputs!AD$67</f>
        <v>0</v>
      </c>
      <c r="W74" s="73">
        <f>Inputs!AE$67</f>
        <v>0</v>
      </c>
      <c r="X74" s="73">
        <f>Inputs!AF$67</f>
        <v>0</v>
      </c>
      <c r="Y74" s="73">
        <f>Inputs!AG$67</f>
        <v>0</v>
      </c>
      <c r="Z74" s="73">
        <f t="shared" si="43"/>
        <v>6</v>
      </c>
      <c r="AA74" s="73">
        <f t="shared" si="44"/>
        <v>2</v>
      </c>
    </row>
    <row r="75" outlineLevel="1">
      <c r="A75" s="6" t="s">
        <v>328</v>
      </c>
      <c r="B75" s="70">
        <f t="shared" ref="B75:M75" si="45">SUMPRODUCT($B74:B74,$B71:B71)</f>
        <v>1058610.612</v>
      </c>
      <c r="C75" s="70">
        <f t="shared" si="45"/>
        <v>1058610.612</v>
      </c>
      <c r="D75" s="70">
        <f t="shared" si="45"/>
        <v>1058610.612</v>
      </c>
      <c r="E75" s="70">
        <f t="shared" si="45"/>
        <v>1439219.897</v>
      </c>
      <c r="F75" s="70">
        <f t="shared" si="45"/>
        <v>1439219.897</v>
      </c>
      <c r="G75" s="70">
        <f t="shared" si="45"/>
        <v>1439219.897</v>
      </c>
      <c r="H75" s="70">
        <f t="shared" si="45"/>
        <v>1439219.897</v>
      </c>
      <c r="I75" s="70">
        <f t="shared" si="45"/>
        <v>1439219.897</v>
      </c>
      <c r="J75" s="70">
        <f t="shared" si="45"/>
        <v>1439219.897</v>
      </c>
      <c r="K75" s="70">
        <f t="shared" si="45"/>
        <v>1439219.897</v>
      </c>
      <c r="L75" s="70">
        <f t="shared" si="45"/>
        <v>1439219.897</v>
      </c>
      <c r="M75" s="70">
        <f t="shared" si="45"/>
        <v>1439219.897</v>
      </c>
      <c r="N75" s="70">
        <f t="shared" ref="N75:Y75" si="46">SUMPRODUCT($N74:N74,$N71:N71)</f>
        <v>529305.3059</v>
      </c>
      <c r="O75" s="70">
        <f t="shared" si="46"/>
        <v>529305.3059</v>
      </c>
      <c r="P75" s="70">
        <f t="shared" si="46"/>
        <v>529305.3059</v>
      </c>
      <c r="Q75" s="70">
        <f t="shared" si="46"/>
        <v>529305.3059</v>
      </c>
      <c r="R75" s="70">
        <f t="shared" si="46"/>
        <v>529305.3059</v>
      </c>
      <c r="S75" s="70">
        <f t="shared" si="46"/>
        <v>529305.3059</v>
      </c>
      <c r="T75" s="70">
        <f t="shared" si="46"/>
        <v>529305.3059</v>
      </c>
      <c r="U75" s="70">
        <f t="shared" si="46"/>
        <v>529305.3059</v>
      </c>
      <c r="V75" s="70">
        <f t="shared" si="46"/>
        <v>529305.3059</v>
      </c>
      <c r="W75" s="70">
        <f t="shared" si="46"/>
        <v>529305.3059</v>
      </c>
      <c r="X75" s="70">
        <f t="shared" si="46"/>
        <v>529305.3059</v>
      </c>
      <c r="Y75" s="70">
        <f t="shared" si="46"/>
        <v>529305.3059</v>
      </c>
      <c r="Z75" s="70">
        <f>M75</f>
        <v>1439219.897</v>
      </c>
      <c r="AA75" s="70">
        <f>Y75</f>
        <v>529305.3059</v>
      </c>
    </row>
    <row r="76" outlineLevel="1">
      <c r="A76" s="3"/>
    </row>
    <row r="77">
      <c r="A77" s="4" t="s">
        <v>329</v>
      </c>
      <c r="B77" s="46"/>
      <c r="C77" s="46"/>
      <c r="D77" s="46"/>
      <c r="E77" s="46"/>
      <c r="F77" s="46"/>
      <c r="G77" s="46"/>
      <c r="H77" s="46"/>
      <c r="I77" s="46"/>
      <c r="J77" s="46"/>
      <c r="K77" s="46"/>
      <c r="L77" s="46"/>
      <c r="M77" s="46"/>
      <c r="N77" s="46"/>
      <c r="O77" s="46"/>
      <c r="P77" s="46"/>
      <c r="Q77" s="46"/>
      <c r="R77" s="46"/>
      <c r="S77" s="46"/>
      <c r="T77" s="46"/>
      <c r="U77" s="46"/>
      <c r="V77" s="46"/>
      <c r="W77" s="46"/>
      <c r="X77" s="46"/>
      <c r="Y77" s="46"/>
      <c r="Z77" s="46"/>
      <c r="AA77" s="46"/>
    </row>
    <row r="78" outlineLevel="1">
      <c r="A78" s="6" t="s">
        <v>299</v>
      </c>
      <c r="B78" s="70">
        <f>Inputs!$B$8*Inputs!$C$18+Inputs!$C$20*Inputs!$B$9</f>
        <v>5700000</v>
      </c>
      <c r="C78" s="70">
        <f>Inputs!$B$8*Inputs!$C$18+Inputs!$C$20*Inputs!$B$9</f>
        <v>5700000</v>
      </c>
      <c r="D78" s="70">
        <f>Inputs!$B$8*Inputs!$C$18+Inputs!$C$20*Inputs!$B$9</f>
        <v>5700000</v>
      </c>
      <c r="E78" s="70">
        <f>Inputs!$B$8*Inputs!$C$18+Inputs!$C$20*Inputs!$B$9</f>
        <v>5700000</v>
      </c>
      <c r="F78" s="70">
        <f>Inputs!$B$8*Inputs!$C$18+Inputs!$C$20*Inputs!$B$9</f>
        <v>5700000</v>
      </c>
      <c r="G78" s="70">
        <f>Inputs!$B$8*Inputs!$C$18+Inputs!$C$20*Inputs!$B$9</f>
        <v>5700000</v>
      </c>
      <c r="H78" s="70">
        <f>Inputs!$B$8*Inputs!$C$18+Inputs!$C$20*Inputs!$B$9</f>
        <v>5700000</v>
      </c>
      <c r="I78" s="70">
        <f>Inputs!$B$8*Inputs!$C$18+Inputs!$C$20*Inputs!$B$9</f>
        <v>5700000</v>
      </c>
      <c r="J78" s="70">
        <f>Inputs!$B$8*Inputs!$C$18+Inputs!$C$20*Inputs!$B$9</f>
        <v>5700000</v>
      </c>
      <c r="K78" s="70">
        <f>Inputs!$B$8*Inputs!$C$18+Inputs!$C$20*Inputs!$B$9</f>
        <v>5700000</v>
      </c>
      <c r="L78" s="70">
        <f>Inputs!$B$8*Inputs!$C$18+Inputs!$C$20*Inputs!$B$9</f>
        <v>5700000</v>
      </c>
      <c r="M78" s="70">
        <f>Inputs!$B$8*Inputs!$C$18+Inputs!$C$20*Inputs!$B$9</f>
        <v>5700000</v>
      </c>
      <c r="N78" s="70">
        <f>Inputs!$B$8*Inputs!$C$18+Inputs!$C$20*(Inputs!$B$9+Inputs!$B$10)</f>
        <v>8500000</v>
      </c>
      <c r="O78" s="70">
        <f>Inputs!$B$8*Inputs!$C$18+Inputs!$C$20*(Inputs!$B$9+Inputs!$B$10)</f>
        <v>8500000</v>
      </c>
      <c r="P78" s="70">
        <f>Inputs!$B$8*Inputs!$C$18+Inputs!$C$20*(Inputs!$B$9+Inputs!$B$10)</f>
        <v>8500000</v>
      </c>
      <c r="Q78" s="70">
        <f>Inputs!$B$8*Inputs!$C$18+Inputs!$C$20*(Inputs!$B$9+Inputs!$B$10)</f>
        <v>8500000</v>
      </c>
      <c r="R78" s="70">
        <f>Inputs!$B$8*Inputs!$C$18+Inputs!$C$20*(Inputs!$B$9+Inputs!$B$10)</f>
        <v>8500000</v>
      </c>
      <c r="S78" s="70">
        <f>Inputs!$B$8*Inputs!$C$18+Inputs!$C$20*(Inputs!$B$9+Inputs!$B$10)</f>
        <v>8500000</v>
      </c>
      <c r="T78" s="70">
        <f>Inputs!$B$8*Inputs!$C$18+Inputs!$C$20*(Inputs!$B$9+Inputs!$B$10)</f>
        <v>8500000</v>
      </c>
      <c r="U78" s="70">
        <f>Inputs!$B$8*Inputs!$C$18+Inputs!$C$20*(Inputs!$B$9+Inputs!$B$10)</f>
        <v>8500000</v>
      </c>
      <c r="V78" s="70">
        <f>Inputs!$B$8*Inputs!$C$18+Inputs!$C$20*(Inputs!$B$9+Inputs!$B$10)</f>
        <v>8500000</v>
      </c>
      <c r="W78" s="70">
        <f>Inputs!$B$8*Inputs!$C$18+Inputs!$C$20*(Inputs!$B$9+Inputs!$B$10)</f>
        <v>8500000</v>
      </c>
      <c r="X78" s="70">
        <f>Inputs!$B$8*Inputs!$C$18+Inputs!$C$20*(Inputs!$B$9+Inputs!$B$10)</f>
        <v>8500000</v>
      </c>
      <c r="Y78" s="70">
        <f>Inputs!$B$8*Inputs!$C$18+Inputs!$C$20*(Inputs!$B$9+Inputs!$B$10)</f>
        <v>8500000</v>
      </c>
      <c r="Z78" s="70">
        <f>M78</f>
        <v>5700000</v>
      </c>
      <c r="AA78" s="70">
        <f>Y78</f>
        <v>8500000</v>
      </c>
    </row>
    <row r="79" outlineLevel="1">
      <c r="A79" s="6" t="s">
        <v>321</v>
      </c>
      <c r="B79" s="70">
        <f>Inputs!$C$31*((1-Inputs!$C$34)^(1/12))^B$2*'Rep capacity'!$C$13*Inputs!$C$28</f>
        <v>188462.6937</v>
      </c>
      <c r="C79" s="70">
        <f>Inputs!$C$31*((1-Inputs!$C$34)^(1/12))^C$2*'Rep capacity'!$C$13*Inputs!$C$28</f>
        <v>184990.5569</v>
      </c>
      <c r="D79" s="70">
        <f>Inputs!$C$31*((1-Inputs!$C$34)^(1/12))^D$2*'Rep capacity'!$C$13*Inputs!$C$28</f>
        <v>181582.3889</v>
      </c>
      <c r="E79" s="70">
        <f>Inputs!$C$31*((1-Inputs!$C$34)^(1/12))^E$2*'Rep capacity'!$C$13*Inputs!$C$28</f>
        <v>178237.0112</v>
      </c>
      <c r="F79" s="70">
        <f>Inputs!$C$31*((1-Inputs!$C$34)^(1/12))^F$2*'Rep capacity'!$C$13*Inputs!$C$28</f>
        <v>174953.267</v>
      </c>
      <c r="G79" s="70">
        <f>Inputs!$C$31*((1-Inputs!$C$34)^(1/12))^G$2*'Rep capacity'!$C$13*Inputs!$C$28</f>
        <v>171730.0207</v>
      </c>
      <c r="H79" s="70">
        <f>Inputs!$C$31*((1-Inputs!$C$34)^(1/12))^H$2*'Rep capacity'!$C$13*Inputs!$C$28</f>
        <v>168566.1578</v>
      </c>
      <c r="I79" s="70">
        <f>Inputs!$C$31*((1-Inputs!$C$34)^(1/12))^I$2*'Rep capacity'!$C$13*Inputs!$C$28</f>
        <v>165460.5842</v>
      </c>
      <c r="J79" s="70">
        <f>Inputs!$C$31*((1-Inputs!$C$34)^(1/12))^J$2*'Rep capacity'!$C$13*Inputs!$C$28</f>
        <v>162412.2261</v>
      </c>
      <c r="K79" s="70">
        <f>Inputs!$C$31*((1-Inputs!$C$34)^(1/12))^K$2*'Rep capacity'!$C$13*Inputs!$C$28</f>
        <v>159420.0293</v>
      </c>
      <c r="L79" s="70">
        <f>Inputs!$C$31*((1-Inputs!$C$34)^(1/12))^L$2*'Rep capacity'!$C$13*Inputs!$C$28</f>
        <v>156482.9591</v>
      </c>
      <c r="M79" s="70">
        <f>Inputs!$C$31*((1-Inputs!$C$34)^(1/12))^M$2*'Rep capacity'!$C$13*Inputs!$C$28</f>
        <v>153600</v>
      </c>
      <c r="N79" s="70">
        <f>(Inputs!$C$31*((1-Inputs!$C$34)^(1/12))^N$2+SUMPRODUCT($B84:$M84,((((N$2-$B$2:$M$2)-Inputs!$C$30)&gt;=Inputs!$C$32)+(((N$2-$B$2:$M$2)-Inputs!$C$30)&lt;Inputs!$C$32)*((((N$2-$B$2:$M$2)-Inputs!$C$30)/MAX(Inputs!$C$32,1)&gt;Inputs!$C$33)*((N$2-$B$2:$M$2)-Inputs!$C$30)/MAX(Inputs!$C$32,1)+(((N$2-$B$2:$M$2)-Inputs!$C$30)/MAX(Inputs!$C$32,1)&lt;=Inputs!$C$33)*Inputs!$C$33)),((1-Inputs!$C$34)^(1/12))^(N$2-$B$2:$M$2)))*'Rep capacity'!$C$13*Inputs!$C$28</f>
        <v>150770.155</v>
      </c>
      <c r="O79" s="70">
        <f>(Inputs!$C$31*((1-Inputs!$C$34)^(1/12))^O$2+SUMPRODUCT($B84:$M84,((((O$2-$B$2:$M$2)-Inputs!$C$30)&gt;=Inputs!$C$32)+(((O$2-$B$2:$M$2)-Inputs!$C$30)&lt;Inputs!$C$32)*((((O$2-$B$2:$M$2)-Inputs!$C$30)/MAX(Inputs!$C$32,1)&gt;Inputs!$C$33)*((O$2-$B$2:$M$2)-Inputs!$C$30)/MAX(Inputs!$C$32,1)+(((O$2-$B$2:$M$2)-Inputs!$C$30)/MAX(Inputs!$C$32,1)&lt;=Inputs!$C$33)*Inputs!$C$33)),((1-Inputs!$C$34)^(1/12))^(O$2-$B$2:$M$2)))*'Rep capacity'!$C$13*Inputs!$C$28</f>
        <v>147992.4455</v>
      </c>
      <c r="P79" s="70">
        <f>(Inputs!$C$31*((1-Inputs!$C$34)^(1/12))^P$2+SUMPRODUCT($B84:$M84,((((P$2-$B$2:$M$2)-Inputs!$C$30)&gt;=Inputs!$C$32)+(((P$2-$B$2:$M$2)-Inputs!$C$30)&lt;Inputs!$C$32)*((((P$2-$B$2:$M$2)-Inputs!$C$30)/MAX(Inputs!$C$32,1)&gt;Inputs!$C$33)*((P$2-$B$2:$M$2)-Inputs!$C$30)/MAX(Inputs!$C$32,1)+(((P$2-$B$2:$M$2)-Inputs!$C$30)/MAX(Inputs!$C$32,1)&lt;=Inputs!$C$33)*Inputs!$C$33)),((1-Inputs!$C$34)^(1/12))^(P$2-$B$2:$M$2)))*'Rep capacity'!$C$13*Inputs!$C$28</f>
        <v>145265.9111</v>
      </c>
      <c r="Q79" s="70">
        <f>(Inputs!$C$31*((1-Inputs!$C$34)^(1/12))^Q$2+SUMPRODUCT($B84:$M84,((((Q$2-$B$2:$M$2)-Inputs!$C$30)&gt;=Inputs!$C$32)+(((Q$2-$B$2:$M$2)-Inputs!$C$30)&lt;Inputs!$C$32)*((((Q$2-$B$2:$M$2)-Inputs!$C$30)/MAX(Inputs!$C$32,1)&gt;Inputs!$C$33)*((Q$2-$B$2:$M$2)-Inputs!$C$30)/MAX(Inputs!$C$32,1)+(((Q$2-$B$2:$M$2)-Inputs!$C$30)/MAX(Inputs!$C$32,1)&lt;=Inputs!$C$33)*Inputs!$C$33)),((1-Inputs!$C$34)^(1/12))^(Q$2-$B$2:$M$2)))*'Rep capacity'!$C$13*Inputs!$C$28</f>
        <v>142589.609</v>
      </c>
      <c r="R79" s="70">
        <f>(Inputs!$C$31*((1-Inputs!$C$34)^(1/12))^R$2+SUMPRODUCT($B84:$M84,((((R$2-$B$2:$M$2)-Inputs!$C$30)&gt;=Inputs!$C$32)+(((R$2-$B$2:$M$2)-Inputs!$C$30)&lt;Inputs!$C$32)*((((R$2-$B$2:$M$2)-Inputs!$C$30)/MAX(Inputs!$C$32,1)&gt;Inputs!$C$33)*((R$2-$B$2:$M$2)-Inputs!$C$30)/MAX(Inputs!$C$32,1)+(((R$2-$B$2:$M$2)-Inputs!$C$30)/MAX(Inputs!$C$32,1)&lt;=Inputs!$C$33)*Inputs!$C$33)),((1-Inputs!$C$34)^(1/12))^(R$2-$B$2:$M$2)))*'Rep capacity'!$C$13*Inputs!$C$28</f>
        <v>139962.6136</v>
      </c>
      <c r="S79" s="70">
        <f>(Inputs!$C$31*((1-Inputs!$C$34)^(1/12))^S$2+SUMPRODUCT($B84:$M84,((((S$2-$B$2:$M$2)-Inputs!$C$30)&gt;=Inputs!$C$32)+(((S$2-$B$2:$M$2)-Inputs!$C$30)&lt;Inputs!$C$32)*((((S$2-$B$2:$M$2)-Inputs!$C$30)/MAX(Inputs!$C$32,1)&gt;Inputs!$C$33)*((S$2-$B$2:$M$2)-Inputs!$C$30)/MAX(Inputs!$C$32,1)+(((S$2-$B$2:$M$2)-Inputs!$C$30)/MAX(Inputs!$C$32,1)&lt;=Inputs!$C$33)*Inputs!$C$33)),((1-Inputs!$C$34)^(1/12))^(S$2-$B$2:$M$2)))*'Rep capacity'!$C$13*Inputs!$C$28</f>
        <v>137384.0165</v>
      </c>
      <c r="T79" s="70">
        <f>(Inputs!$C$31*((1-Inputs!$C$34)^(1/12))^T$2+SUMPRODUCT($B84:$M84,((((T$2-$B$2:$M$2)-Inputs!$C$30)&gt;=Inputs!$C$32)+(((T$2-$B$2:$M$2)-Inputs!$C$30)&lt;Inputs!$C$32)*((((T$2-$B$2:$M$2)-Inputs!$C$30)/MAX(Inputs!$C$32,1)&gt;Inputs!$C$33)*((T$2-$B$2:$M$2)-Inputs!$C$30)/MAX(Inputs!$C$32,1)+(((T$2-$B$2:$M$2)-Inputs!$C$30)/MAX(Inputs!$C$32,1)&lt;=Inputs!$C$33)*Inputs!$C$33)),((1-Inputs!$C$34)^(1/12))^(T$2-$B$2:$M$2)))*'Rep capacity'!$C$13*Inputs!$C$28</f>
        <v>134852.9262</v>
      </c>
      <c r="U79" s="70">
        <f>(Inputs!$C$31*((1-Inputs!$C$34)^(1/12))^U$2+SUMPRODUCT($B84:$M84,((((U$2-$B$2:$M$2)-Inputs!$C$30)&gt;=Inputs!$C$32)+(((U$2-$B$2:$M$2)-Inputs!$C$30)&lt;Inputs!$C$32)*((((U$2-$B$2:$M$2)-Inputs!$C$30)/MAX(Inputs!$C$32,1)&gt;Inputs!$C$33)*((U$2-$B$2:$M$2)-Inputs!$C$30)/MAX(Inputs!$C$32,1)+(((U$2-$B$2:$M$2)-Inputs!$C$30)/MAX(Inputs!$C$32,1)&lt;=Inputs!$C$33)*Inputs!$C$33)),((1-Inputs!$C$34)^(1/12))^(U$2-$B$2:$M$2)))*'Rep capacity'!$C$13*Inputs!$C$28</f>
        <v>132368.4674</v>
      </c>
      <c r="V79" s="70">
        <f>(Inputs!$C$31*((1-Inputs!$C$34)^(1/12))^V$2+SUMPRODUCT($B84:$M84,((((V$2-$B$2:$M$2)-Inputs!$C$30)&gt;=Inputs!$C$32)+(((V$2-$B$2:$M$2)-Inputs!$C$30)&lt;Inputs!$C$32)*((((V$2-$B$2:$M$2)-Inputs!$C$30)/MAX(Inputs!$C$32,1)&gt;Inputs!$C$33)*((V$2-$B$2:$M$2)-Inputs!$C$30)/MAX(Inputs!$C$32,1)+(((V$2-$B$2:$M$2)-Inputs!$C$30)/MAX(Inputs!$C$32,1)&lt;=Inputs!$C$33)*Inputs!$C$33)),((1-Inputs!$C$34)^(1/12))^(V$2-$B$2:$M$2)))*'Rep capacity'!$C$13*Inputs!$C$28</f>
        <v>129929.7809</v>
      </c>
      <c r="W79" s="70">
        <f>(Inputs!$C$31*((1-Inputs!$C$34)^(1/12))^W$2+SUMPRODUCT($B84:$M84,((((W$2-$B$2:$M$2)-Inputs!$C$30)&gt;=Inputs!$C$32)+(((W$2-$B$2:$M$2)-Inputs!$C$30)&lt;Inputs!$C$32)*((((W$2-$B$2:$M$2)-Inputs!$C$30)/MAX(Inputs!$C$32,1)&gt;Inputs!$C$33)*((W$2-$B$2:$M$2)-Inputs!$C$30)/MAX(Inputs!$C$32,1)+(((W$2-$B$2:$M$2)-Inputs!$C$30)/MAX(Inputs!$C$32,1)&lt;=Inputs!$C$33)*Inputs!$C$33)),((1-Inputs!$C$34)^(1/12))^(W$2-$B$2:$M$2)))*'Rep capacity'!$C$13*Inputs!$C$28</f>
        <v>127536.0234</v>
      </c>
      <c r="X79" s="70">
        <f>(Inputs!$C$31*((1-Inputs!$C$34)^(1/12))^X$2+SUMPRODUCT($B84:$M84,((((X$2-$B$2:$M$2)-Inputs!$C$30)&gt;=Inputs!$C$32)+(((X$2-$B$2:$M$2)-Inputs!$C$30)&lt;Inputs!$C$32)*((((X$2-$B$2:$M$2)-Inputs!$C$30)/MAX(Inputs!$C$32,1)&gt;Inputs!$C$33)*((X$2-$B$2:$M$2)-Inputs!$C$30)/MAX(Inputs!$C$32,1)+(((X$2-$B$2:$M$2)-Inputs!$C$30)/MAX(Inputs!$C$32,1)&lt;=Inputs!$C$33)*Inputs!$C$33)),((1-Inputs!$C$34)^(1/12))^(X$2-$B$2:$M$2)))*'Rep capacity'!$C$13*Inputs!$C$28</f>
        <v>125186.3673</v>
      </c>
      <c r="Y79" s="70">
        <f>(Inputs!$C$31*((1-Inputs!$C$34)^(1/12))^Y$2+SUMPRODUCT($B84:$M84,((((Y$2-$B$2:$M$2)-Inputs!$C$30)&gt;=Inputs!$C$32)+(((Y$2-$B$2:$M$2)-Inputs!$C$30)&lt;Inputs!$C$32)*((((Y$2-$B$2:$M$2)-Inputs!$C$30)/MAX(Inputs!$C$32,1)&gt;Inputs!$C$33)*((Y$2-$B$2:$M$2)-Inputs!$C$30)/MAX(Inputs!$C$32,1)+(((Y$2-$B$2:$M$2)-Inputs!$C$30)/MAX(Inputs!$C$32,1)&lt;=Inputs!$C$33)*Inputs!$C$33)),((1-Inputs!$C$34)^(1/12))^(Y$2-$B$2:$M$2)))*'Rep capacity'!$C$13*Inputs!$C$28</f>
        <v>122880</v>
      </c>
      <c r="Z79" s="70">
        <f>SUM(B79:M79)</f>
        <v>2045897.895</v>
      </c>
      <c r="AA79" s="70">
        <f>SUM(N79:Y79)</f>
        <v>1636718.316</v>
      </c>
    </row>
    <row r="80" outlineLevel="1">
      <c r="A80" s="6" t="s">
        <v>322</v>
      </c>
      <c r="B80" s="70">
        <f>Inputs!$B$8*Inputs!$C$18*(1+(Inputs!$C$37-Inputs!$C$36-Inputs!$C$35)/12)+B79</f>
        <v>3803462.694</v>
      </c>
      <c r="C80" s="70">
        <f>B80*(1+(Inputs!$C$37-Inputs!$C$36-Inputs!$C$35)/12)+C79</f>
        <v>4004301.012</v>
      </c>
      <c r="D80" s="70">
        <f>C80*(1+(Inputs!$C$37-Inputs!$C$36-Inputs!$C$35)/12)+D79</f>
        <v>4202567.988</v>
      </c>
      <c r="E80" s="70">
        <f>D80*(1+(Inputs!$C$37-Inputs!$C$36-Inputs!$C$35)/12)+E79</f>
        <v>4398315.7</v>
      </c>
      <c r="F80" s="70">
        <f>E80*(1+(Inputs!$C$37-Inputs!$C$36-Inputs!$C$35)/12)+F79</f>
        <v>4591595.282</v>
      </c>
      <c r="G80" s="70">
        <f>F80*(1+(Inputs!$C$37-Inputs!$C$36-Inputs!$C$35)/12)+G79</f>
        <v>4782456.95</v>
      </c>
      <c r="H80" s="70">
        <f>G80*(1+(Inputs!$C$37-Inputs!$C$36-Inputs!$C$35)/12)+H79</f>
        <v>4970950.011</v>
      </c>
      <c r="I80" s="70">
        <f>H80*(1+(Inputs!$C$37-Inputs!$C$36-Inputs!$C$35)/12)+I79</f>
        <v>5157122.887</v>
      </c>
      <c r="J80" s="70">
        <f>I80*(1+(Inputs!$C$37-Inputs!$C$36-Inputs!$C$35)/12)+J79</f>
        <v>5341023.125</v>
      </c>
      <c r="K80" s="70">
        <f>J80*(1+(Inputs!$C$37-Inputs!$C$36-Inputs!$C$35)/12)+K79</f>
        <v>5522697.418</v>
      </c>
      <c r="L80" s="70">
        <f>K80*(1+(Inputs!$C$37-Inputs!$C$36-Inputs!$C$35)/12)+L79</f>
        <v>5702191.616</v>
      </c>
      <c r="M80" s="70">
        <f>L80*(1+(Inputs!$C$37-Inputs!$C$36-Inputs!$C$35)/12)+M79</f>
        <v>5879550.748</v>
      </c>
      <c r="N80" s="70">
        <f>ARR!$M$57*(1+(Inputs!$C$37-Inputs!$C$36-Inputs!$C$35)/12)+N79</f>
        <v>6054819.031</v>
      </c>
      <c r="O80" s="70">
        <f>N80*(1+(Inputs!$C$37-Inputs!$C$36-Inputs!$C$35)/12)+O79</f>
        <v>6228039.889</v>
      </c>
      <c r="P80" s="70">
        <f>O80*(1+(Inputs!$C$37-Inputs!$C$36-Inputs!$C$35)/12)+P79</f>
        <v>6399255.966</v>
      </c>
      <c r="Q80" s="70">
        <f>P80*(1+(Inputs!$C$37-Inputs!$C$36-Inputs!$C$35)/12)+Q79</f>
        <v>6568509.142</v>
      </c>
      <c r="R80" s="70">
        <f>Q80*(1+(Inputs!$C$37-Inputs!$C$36-Inputs!$C$35)/12)+R79</f>
        <v>6735840.543</v>
      </c>
      <c r="S80" s="70">
        <f>R80*(1+(Inputs!$C$37-Inputs!$C$36-Inputs!$C$35)/12)+S79</f>
        <v>6901290.562</v>
      </c>
      <c r="T80" s="70">
        <f>S80*(1+(Inputs!$C$37-Inputs!$C$36-Inputs!$C$35)/12)+T79</f>
        <v>7064898.866</v>
      </c>
      <c r="U80" s="70">
        <f>T80*(1+(Inputs!$C$37-Inputs!$C$36-Inputs!$C$35)/12)+U79</f>
        <v>7226704.412</v>
      </c>
      <c r="V80" s="70">
        <f>U80*(1+(Inputs!$C$37-Inputs!$C$36-Inputs!$C$35)/12)+V79</f>
        <v>7386745.461</v>
      </c>
      <c r="W80" s="70">
        <f>V80*(1+(Inputs!$C$37-Inputs!$C$36-Inputs!$C$35)/12)+W79</f>
        <v>7545059.591</v>
      </c>
      <c r="X80" s="70">
        <f>W80*(1+(Inputs!$C$37-Inputs!$C$36-Inputs!$C$35)/12)+X79</f>
        <v>7701683.706</v>
      </c>
      <c r="Y80" s="70">
        <f>X80*(1+(Inputs!$C$37-Inputs!$C$36-Inputs!$C$35)/12)+Y79</f>
        <v>7856654.055</v>
      </c>
      <c r="Z80" s="70">
        <f t="shared" ref="Z80:Z81" si="49">M80</f>
        <v>5879550.748</v>
      </c>
      <c r="AA80" s="70">
        <f t="shared" ref="AA80:AA81" si="50">Y80</f>
        <v>7856654.055</v>
      </c>
    </row>
    <row r="81" outlineLevel="1">
      <c r="A81" s="6" t="s">
        <v>323</v>
      </c>
      <c r="B81" s="70">
        <f t="shared" ref="B81:M81" si="47">MAX(0,$M78-$M80)</f>
        <v>0</v>
      </c>
      <c r="C81" s="70">
        <f t="shared" si="47"/>
        <v>0</v>
      </c>
      <c r="D81" s="70">
        <f t="shared" si="47"/>
        <v>0</v>
      </c>
      <c r="E81" s="70">
        <f t="shared" si="47"/>
        <v>0</v>
      </c>
      <c r="F81" s="70">
        <f t="shared" si="47"/>
        <v>0</v>
      </c>
      <c r="G81" s="70">
        <f t="shared" si="47"/>
        <v>0</v>
      </c>
      <c r="H81" s="70">
        <f t="shared" si="47"/>
        <v>0</v>
      </c>
      <c r="I81" s="70">
        <f t="shared" si="47"/>
        <v>0</v>
      </c>
      <c r="J81" s="70">
        <f t="shared" si="47"/>
        <v>0</v>
      </c>
      <c r="K81" s="70">
        <f t="shared" si="47"/>
        <v>0</v>
      </c>
      <c r="L81" s="70">
        <f t="shared" si="47"/>
        <v>0</v>
      </c>
      <c r="M81" s="70">
        <f t="shared" si="47"/>
        <v>0</v>
      </c>
      <c r="N81" s="70">
        <f t="shared" ref="N81:Y81" si="48">MAX(0,$Y78-$Y80)</f>
        <v>643345.9451</v>
      </c>
      <c r="O81" s="70">
        <f t="shared" si="48"/>
        <v>643345.9451</v>
      </c>
      <c r="P81" s="70">
        <f t="shared" si="48"/>
        <v>643345.9451</v>
      </c>
      <c r="Q81" s="70">
        <f t="shared" si="48"/>
        <v>643345.9451</v>
      </c>
      <c r="R81" s="70">
        <f t="shared" si="48"/>
        <v>643345.9451</v>
      </c>
      <c r="S81" s="70">
        <f t="shared" si="48"/>
        <v>643345.9451</v>
      </c>
      <c r="T81" s="70">
        <f t="shared" si="48"/>
        <v>643345.9451</v>
      </c>
      <c r="U81" s="70">
        <f t="shared" si="48"/>
        <v>643345.9451</v>
      </c>
      <c r="V81" s="70">
        <f t="shared" si="48"/>
        <v>643345.9451</v>
      </c>
      <c r="W81" s="70">
        <f t="shared" si="48"/>
        <v>643345.9451</v>
      </c>
      <c r="X81" s="70">
        <f t="shared" si="48"/>
        <v>643345.9451</v>
      </c>
      <c r="Y81" s="70">
        <f t="shared" si="48"/>
        <v>643345.9451</v>
      </c>
      <c r="Z81" s="70">
        <f t="shared" si="49"/>
        <v>0</v>
      </c>
      <c r="AA81" s="70">
        <f t="shared" si="50"/>
        <v>643345.9451</v>
      </c>
    </row>
    <row r="82" outlineLevel="1">
      <c r="A82" s="6" t="s">
        <v>324</v>
      </c>
      <c r="B82" s="70">
        <f>'Rep capacity'!$C$13*Inputs!$C$28*SUMPRODUCT((($B$2:$M$2-1)&lt;=12-B$2)*(((($B$2:$M$2-1)-Inputs!$C$30)&gt;=Inputs!$C$32)+((($B$2:$M$2-1)-Inputs!$C$30)&lt;Inputs!$C$32)*(((($B$2:$M$2-1)-Inputs!$C$30)/MAX(Inputs!$C$32,1)&gt;Inputs!$C$33)*(($B$2:$M$2-1)-Inputs!$C$30)/MAX(Inputs!$C$32,1)+((($B$2:$M$2-1)-Inputs!$C$30)/MAX(Inputs!$C$32,1)&lt;=Inputs!$C$33)*Inputs!$C$33))*((1-Inputs!$C$34)^(1/12))^($B$2:$M$2-1)*(1+(Inputs!$C$37-Inputs!$C$36-Inputs!$C$35)/12)^(12-B$2-($B$2:$M$2-1)))</f>
        <v>293838.2528</v>
      </c>
      <c r="C82" s="70">
        <f>'Rep capacity'!$C$13*Inputs!$C$28*SUMPRODUCT((($B$2:$M$2-1)&lt;=12-C$2)*(((($B$2:$M$2-1)-Inputs!$C$30)&gt;=Inputs!$C$32)+((($B$2:$M$2-1)-Inputs!$C$30)&lt;Inputs!$C$32)*(((($B$2:$M$2-1)-Inputs!$C$30)/MAX(Inputs!$C$32,1)&gt;Inputs!$C$33)*(($B$2:$M$2-1)-Inputs!$C$30)/MAX(Inputs!$C$32,1)+((($B$2:$M$2-1)-Inputs!$C$30)/MAX(Inputs!$C$32,1)&lt;=Inputs!$C$33)*Inputs!$C$33))*((1-Inputs!$C$34)^(1/12))^($B$2:$M$2-1)*(1+(Inputs!$C$37-Inputs!$C$36-Inputs!$C$35)/12)^(12-C$2-($B$2:$M$2-1)))</f>
        <v>253660.5939</v>
      </c>
      <c r="D82" s="70">
        <f>'Rep capacity'!$C$13*Inputs!$C$28*SUMPRODUCT((($B$2:$M$2-1)&lt;=12-D$2)*(((($B$2:$M$2-1)-Inputs!$C$30)&gt;=Inputs!$C$32)+((($B$2:$M$2-1)-Inputs!$C$30)&lt;Inputs!$C$32)*(((($B$2:$M$2-1)-Inputs!$C$30)/MAX(Inputs!$C$32,1)&gt;Inputs!$C$33)*(($B$2:$M$2-1)-Inputs!$C$30)/MAX(Inputs!$C$32,1)+((($B$2:$M$2-1)-Inputs!$C$30)/MAX(Inputs!$C$32,1)&lt;=Inputs!$C$33)*Inputs!$C$33))*((1-Inputs!$C$34)^(1/12))^($B$2:$M$2-1)*(1+(Inputs!$C$37-Inputs!$C$36-Inputs!$C$35)/12)^(12-D$2-($B$2:$M$2-1)))</f>
        <v>212918.4265</v>
      </c>
      <c r="E82" s="70">
        <f>'Rep capacity'!$C$13*Inputs!$C$28*SUMPRODUCT((($B$2:$M$2-1)&lt;=12-E$2)*(((($B$2:$M$2-1)-Inputs!$C$30)&gt;=Inputs!$C$32)+((($B$2:$M$2-1)-Inputs!$C$30)&lt;Inputs!$C$32)*(((($B$2:$M$2-1)-Inputs!$C$30)/MAX(Inputs!$C$32,1)&gt;Inputs!$C$33)*(($B$2:$M$2-1)-Inputs!$C$30)/MAX(Inputs!$C$32,1)+((($B$2:$M$2-1)-Inputs!$C$30)/MAX(Inputs!$C$32,1)&lt;=Inputs!$C$33)*Inputs!$C$33))*((1-Inputs!$C$34)^(1/12))^($B$2:$M$2-1)*(1+(Inputs!$C$37-Inputs!$C$36-Inputs!$C$35)/12)^(12-E$2-($B$2:$M$2-1)))</f>
        <v>171600.3684</v>
      </c>
      <c r="F82" s="70">
        <f>'Rep capacity'!$C$13*Inputs!$C$28*SUMPRODUCT((($B$2:$M$2-1)&lt;=12-F$2)*(((($B$2:$M$2-1)-Inputs!$C$30)&gt;=Inputs!$C$32)+((($B$2:$M$2-1)-Inputs!$C$30)&lt;Inputs!$C$32)*(((($B$2:$M$2-1)-Inputs!$C$30)/MAX(Inputs!$C$32,1)&gt;Inputs!$C$33)*(($B$2:$M$2-1)-Inputs!$C$30)/MAX(Inputs!$C$32,1)+((($B$2:$M$2-1)-Inputs!$C$30)/MAX(Inputs!$C$32,1)&lt;=Inputs!$C$33)*Inputs!$C$33))*((1-Inputs!$C$34)^(1/12))^($B$2:$M$2-1)*(1+(Inputs!$C$37-Inputs!$C$36-Inputs!$C$35)/12)^(12-F$2-($B$2:$M$2-1)))</f>
        <v>129694.8272</v>
      </c>
      <c r="G82" s="70">
        <f>'Rep capacity'!$C$13*Inputs!$C$28*SUMPRODUCT((($B$2:$M$2-1)&lt;=12-G$2)*(((($B$2:$M$2-1)-Inputs!$C$30)&gt;=Inputs!$C$32)+((($B$2:$M$2-1)-Inputs!$C$30)&lt;Inputs!$C$32)*(((($B$2:$M$2-1)-Inputs!$C$30)/MAX(Inputs!$C$32,1)&gt;Inputs!$C$33)*(($B$2:$M$2-1)-Inputs!$C$30)/MAX(Inputs!$C$32,1)+((($B$2:$M$2-1)-Inputs!$C$30)/MAX(Inputs!$C$32,1)&lt;=Inputs!$C$33)*Inputs!$C$33))*((1-Inputs!$C$34)^(1/12))^($B$2:$M$2-1)*(1+(Inputs!$C$37-Inputs!$C$36-Inputs!$C$35)/12)^(12-G$2-($B$2:$M$2-1)))</f>
        <v>87189.99615</v>
      </c>
      <c r="H82" s="70">
        <f>'Rep capacity'!$C$13*Inputs!$C$28*SUMPRODUCT((($B$2:$M$2-1)&lt;=12-H$2)*(((($B$2:$M$2-1)-Inputs!$C$30)&gt;=Inputs!$C$32)+((($B$2:$M$2-1)-Inputs!$C$30)&lt;Inputs!$C$32)*(((($B$2:$M$2-1)-Inputs!$C$30)/MAX(Inputs!$C$32,1)&gt;Inputs!$C$33)*(($B$2:$M$2-1)-Inputs!$C$30)/MAX(Inputs!$C$32,1)+((($B$2:$M$2-1)-Inputs!$C$30)/MAX(Inputs!$C$32,1)&lt;=Inputs!$C$33)*Inputs!$C$33))*((1-Inputs!$C$34)^(1/12))^($B$2:$M$2-1)*(1+(Inputs!$C$37-Inputs!$C$36-Inputs!$C$35)/12)^(12-H$2-($B$2:$M$2-1)))</f>
        <v>44073.84995</v>
      </c>
      <c r="I82" s="70">
        <f>'Rep capacity'!$C$13*Inputs!$C$28*SUMPRODUCT((($B$2:$M$2-1)&lt;=12-I$2)*(((($B$2:$M$2-1)-Inputs!$C$30)&gt;=Inputs!$C$32)+((($B$2:$M$2-1)-Inputs!$C$30)&lt;Inputs!$C$32)*(((($B$2:$M$2-1)-Inputs!$C$30)/MAX(Inputs!$C$32,1)&gt;Inputs!$C$33)*(($B$2:$M$2-1)-Inputs!$C$30)/MAX(Inputs!$C$32,1)+((($B$2:$M$2-1)-Inputs!$C$30)/MAX(Inputs!$C$32,1)&lt;=Inputs!$C$33)*Inputs!$C$33))*((1-Inputs!$C$34)^(1/12))^($B$2:$M$2-1)*(1+(Inputs!$C$37-Inputs!$C$36-Inputs!$C$35)/12)^(12-I$2-($B$2:$M$2-1)))</f>
        <v>14853.08427</v>
      </c>
      <c r="J82" s="70">
        <f>'Rep capacity'!$C$13*Inputs!$C$28*SUMPRODUCT((($B$2:$M$2-1)&lt;=12-J$2)*(((($B$2:$M$2-1)-Inputs!$C$30)&gt;=Inputs!$C$32)+((($B$2:$M$2-1)-Inputs!$C$30)&lt;Inputs!$C$32)*(((($B$2:$M$2-1)-Inputs!$C$30)/MAX(Inputs!$C$32,1)&gt;Inputs!$C$33)*(($B$2:$M$2-1)-Inputs!$C$30)/MAX(Inputs!$C$32,1)+((($B$2:$M$2-1)-Inputs!$C$30)/MAX(Inputs!$C$32,1)&lt;=Inputs!$C$33)*Inputs!$C$33))*((1-Inputs!$C$34)^(1/12))^($B$2:$M$2-1)*(1+(Inputs!$C$37-Inputs!$C$36-Inputs!$C$35)/12)^(12-J$2-($B$2:$M$2-1)))</f>
        <v>0</v>
      </c>
      <c r="K82" s="70">
        <f>'Rep capacity'!$C$13*Inputs!$C$28*SUMPRODUCT((($B$2:$M$2-1)&lt;=12-K$2)*(((($B$2:$M$2-1)-Inputs!$C$30)&gt;=Inputs!$C$32)+((($B$2:$M$2-1)-Inputs!$C$30)&lt;Inputs!$C$32)*(((($B$2:$M$2-1)-Inputs!$C$30)/MAX(Inputs!$C$32,1)&gt;Inputs!$C$33)*(($B$2:$M$2-1)-Inputs!$C$30)/MAX(Inputs!$C$32,1)+((($B$2:$M$2-1)-Inputs!$C$30)/MAX(Inputs!$C$32,1)&lt;=Inputs!$C$33)*Inputs!$C$33))*((1-Inputs!$C$34)^(1/12))^($B$2:$M$2-1)*(1+(Inputs!$C$37-Inputs!$C$36-Inputs!$C$35)/12)^(12-K$2-($B$2:$M$2-1)))</f>
        <v>0</v>
      </c>
      <c r="L82" s="70">
        <f>'Rep capacity'!$C$13*Inputs!$C$28*SUMPRODUCT((($B$2:$M$2-1)&lt;=12-L$2)*(((($B$2:$M$2-1)-Inputs!$C$30)&gt;=Inputs!$C$32)+((($B$2:$M$2-1)-Inputs!$C$30)&lt;Inputs!$C$32)*(((($B$2:$M$2-1)-Inputs!$C$30)/MAX(Inputs!$C$32,1)&gt;Inputs!$C$33)*(($B$2:$M$2-1)-Inputs!$C$30)/MAX(Inputs!$C$32,1)+((($B$2:$M$2-1)-Inputs!$C$30)/MAX(Inputs!$C$32,1)&lt;=Inputs!$C$33)*Inputs!$C$33))*((1-Inputs!$C$34)^(1/12))^($B$2:$M$2-1)*(1+(Inputs!$C$37-Inputs!$C$36-Inputs!$C$35)/12)^(12-L$2-($B$2:$M$2-1)))</f>
        <v>0</v>
      </c>
      <c r="M82" s="70">
        <f>'Rep capacity'!$C$13*Inputs!$C$28*SUMPRODUCT((($B$2:$M$2-1)&lt;=12-M$2)*(((($B$2:$M$2-1)-Inputs!$C$30)&gt;=Inputs!$C$32)+((($B$2:$M$2-1)-Inputs!$C$30)&lt;Inputs!$C$32)*(((($B$2:$M$2-1)-Inputs!$C$30)/MAX(Inputs!$C$32,1)&gt;Inputs!$C$33)*(($B$2:$M$2-1)-Inputs!$C$30)/MAX(Inputs!$C$32,1)+((($B$2:$M$2-1)-Inputs!$C$30)/MAX(Inputs!$C$32,1)&lt;=Inputs!$C$33)*Inputs!$C$33))*((1-Inputs!$C$34)^(1/12))^($B$2:$M$2-1)*(1+(Inputs!$C$37-Inputs!$C$36-Inputs!$C$35)/12)^(12-M$2-($B$2:$M$2-1)))</f>
        <v>0</v>
      </c>
      <c r="N82" s="70">
        <f>'Rep capacity'!$C$13*Inputs!$C$28*SUMPRODUCT((($B$2:$M$2-1)&lt;=24-N$2)*(((($B$2:$M$2-1)-Inputs!$C$30)&gt;=Inputs!$C$32)+((($B$2:$M$2-1)-Inputs!$C$30)&lt;Inputs!$C$32)*(((($B$2:$M$2-1)-Inputs!$C$30)/MAX(Inputs!$C$32,1)&gt;Inputs!$C$33)*(($B$2:$M$2-1)-Inputs!$C$30)/MAX(Inputs!$C$32,1)+((($B$2:$M$2-1)-Inputs!$C$30)/MAX(Inputs!$C$32,1)&lt;=Inputs!$C$33)*Inputs!$C$33))*((1-Inputs!$C$34)^(1/12))^($B$2:$M$2-1)*(1+(Inputs!$C$37-Inputs!$C$36-Inputs!$C$35)/12)^(24-N$2-($B$2:$M$2-1)))</f>
        <v>293838.2528</v>
      </c>
      <c r="O82" s="70">
        <f>'Rep capacity'!$C$13*Inputs!$C$28*SUMPRODUCT((($B$2:$M$2-1)&lt;=24-O$2)*(((($B$2:$M$2-1)-Inputs!$C$30)&gt;=Inputs!$C$32)+((($B$2:$M$2-1)-Inputs!$C$30)&lt;Inputs!$C$32)*(((($B$2:$M$2-1)-Inputs!$C$30)/MAX(Inputs!$C$32,1)&gt;Inputs!$C$33)*(($B$2:$M$2-1)-Inputs!$C$30)/MAX(Inputs!$C$32,1)+((($B$2:$M$2-1)-Inputs!$C$30)/MAX(Inputs!$C$32,1)&lt;=Inputs!$C$33)*Inputs!$C$33))*((1-Inputs!$C$34)^(1/12))^($B$2:$M$2-1)*(1+(Inputs!$C$37-Inputs!$C$36-Inputs!$C$35)/12)^(24-O$2-($B$2:$M$2-1)))</f>
        <v>253660.5939</v>
      </c>
      <c r="P82" s="70">
        <f>'Rep capacity'!$C$13*Inputs!$C$28*SUMPRODUCT((($B$2:$M$2-1)&lt;=24-P$2)*(((($B$2:$M$2-1)-Inputs!$C$30)&gt;=Inputs!$C$32)+((($B$2:$M$2-1)-Inputs!$C$30)&lt;Inputs!$C$32)*(((($B$2:$M$2-1)-Inputs!$C$30)/MAX(Inputs!$C$32,1)&gt;Inputs!$C$33)*(($B$2:$M$2-1)-Inputs!$C$30)/MAX(Inputs!$C$32,1)+((($B$2:$M$2-1)-Inputs!$C$30)/MAX(Inputs!$C$32,1)&lt;=Inputs!$C$33)*Inputs!$C$33))*((1-Inputs!$C$34)^(1/12))^($B$2:$M$2-1)*(1+(Inputs!$C$37-Inputs!$C$36-Inputs!$C$35)/12)^(24-P$2-($B$2:$M$2-1)))</f>
        <v>212918.4265</v>
      </c>
      <c r="Q82" s="70">
        <f>'Rep capacity'!$C$13*Inputs!$C$28*SUMPRODUCT((($B$2:$M$2-1)&lt;=24-Q$2)*(((($B$2:$M$2-1)-Inputs!$C$30)&gt;=Inputs!$C$32)+((($B$2:$M$2-1)-Inputs!$C$30)&lt;Inputs!$C$32)*(((($B$2:$M$2-1)-Inputs!$C$30)/MAX(Inputs!$C$32,1)&gt;Inputs!$C$33)*(($B$2:$M$2-1)-Inputs!$C$30)/MAX(Inputs!$C$32,1)+((($B$2:$M$2-1)-Inputs!$C$30)/MAX(Inputs!$C$32,1)&lt;=Inputs!$C$33)*Inputs!$C$33))*((1-Inputs!$C$34)^(1/12))^($B$2:$M$2-1)*(1+(Inputs!$C$37-Inputs!$C$36-Inputs!$C$35)/12)^(24-Q$2-($B$2:$M$2-1)))</f>
        <v>171600.3684</v>
      </c>
      <c r="R82" s="70">
        <f>'Rep capacity'!$C$13*Inputs!$C$28*SUMPRODUCT((($B$2:$M$2-1)&lt;=24-R$2)*(((($B$2:$M$2-1)-Inputs!$C$30)&gt;=Inputs!$C$32)+((($B$2:$M$2-1)-Inputs!$C$30)&lt;Inputs!$C$32)*(((($B$2:$M$2-1)-Inputs!$C$30)/MAX(Inputs!$C$32,1)&gt;Inputs!$C$33)*(($B$2:$M$2-1)-Inputs!$C$30)/MAX(Inputs!$C$32,1)+((($B$2:$M$2-1)-Inputs!$C$30)/MAX(Inputs!$C$32,1)&lt;=Inputs!$C$33)*Inputs!$C$33))*((1-Inputs!$C$34)^(1/12))^($B$2:$M$2-1)*(1+(Inputs!$C$37-Inputs!$C$36-Inputs!$C$35)/12)^(24-R$2-($B$2:$M$2-1)))</f>
        <v>129694.8272</v>
      </c>
      <c r="S82" s="70">
        <f>'Rep capacity'!$C$13*Inputs!$C$28*SUMPRODUCT((($B$2:$M$2-1)&lt;=24-S$2)*(((($B$2:$M$2-1)-Inputs!$C$30)&gt;=Inputs!$C$32)+((($B$2:$M$2-1)-Inputs!$C$30)&lt;Inputs!$C$32)*(((($B$2:$M$2-1)-Inputs!$C$30)/MAX(Inputs!$C$32,1)&gt;Inputs!$C$33)*(($B$2:$M$2-1)-Inputs!$C$30)/MAX(Inputs!$C$32,1)+((($B$2:$M$2-1)-Inputs!$C$30)/MAX(Inputs!$C$32,1)&lt;=Inputs!$C$33)*Inputs!$C$33))*((1-Inputs!$C$34)^(1/12))^($B$2:$M$2-1)*(1+(Inputs!$C$37-Inputs!$C$36-Inputs!$C$35)/12)^(24-S$2-($B$2:$M$2-1)))</f>
        <v>87189.99615</v>
      </c>
      <c r="T82" s="70">
        <f>'Rep capacity'!$C$13*Inputs!$C$28*SUMPRODUCT((($B$2:$M$2-1)&lt;=24-T$2)*(((($B$2:$M$2-1)-Inputs!$C$30)&gt;=Inputs!$C$32)+((($B$2:$M$2-1)-Inputs!$C$30)&lt;Inputs!$C$32)*(((($B$2:$M$2-1)-Inputs!$C$30)/MAX(Inputs!$C$32,1)&gt;Inputs!$C$33)*(($B$2:$M$2-1)-Inputs!$C$30)/MAX(Inputs!$C$32,1)+((($B$2:$M$2-1)-Inputs!$C$30)/MAX(Inputs!$C$32,1)&lt;=Inputs!$C$33)*Inputs!$C$33))*((1-Inputs!$C$34)^(1/12))^($B$2:$M$2-1)*(1+(Inputs!$C$37-Inputs!$C$36-Inputs!$C$35)/12)^(24-T$2-($B$2:$M$2-1)))</f>
        <v>44073.84995</v>
      </c>
      <c r="U82" s="70">
        <f>'Rep capacity'!$C$13*Inputs!$C$28*SUMPRODUCT((($B$2:$M$2-1)&lt;=24-U$2)*(((($B$2:$M$2-1)-Inputs!$C$30)&gt;=Inputs!$C$32)+((($B$2:$M$2-1)-Inputs!$C$30)&lt;Inputs!$C$32)*(((($B$2:$M$2-1)-Inputs!$C$30)/MAX(Inputs!$C$32,1)&gt;Inputs!$C$33)*(($B$2:$M$2-1)-Inputs!$C$30)/MAX(Inputs!$C$32,1)+((($B$2:$M$2-1)-Inputs!$C$30)/MAX(Inputs!$C$32,1)&lt;=Inputs!$C$33)*Inputs!$C$33))*((1-Inputs!$C$34)^(1/12))^($B$2:$M$2-1)*(1+(Inputs!$C$37-Inputs!$C$36-Inputs!$C$35)/12)^(24-U$2-($B$2:$M$2-1)))</f>
        <v>14853.08427</v>
      </c>
      <c r="V82" s="70">
        <f>'Rep capacity'!$C$13*Inputs!$C$28*SUMPRODUCT((($B$2:$M$2-1)&lt;=24-V$2)*(((($B$2:$M$2-1)-Inputs!$C$30)&gt;=Inputs!$C$32)+((($B$2:$M$2-1)-Inputs!$C$30)&lt;Inputs!$C$32)*(((($B$2:$M$2-1)-Inputs!$C$30)/MAX(Inputs!$C$32,1)&gt;Inputs!$C$33)*(($B$2:$M$2-1)-Inputs!$C$30)/MAX(Inputs!$C$32,1)+((($B$2:$M$2-1)-Inputs!$C$30)/MAX(Inputs!$C$32,1)&lt;=Inputs!$C$33)*Inputs!$C$33))*((1-Inputs!$C$34)^(1/12))^($B$2:$M$2-1)*(1+(Inputs!$C$37-Inputs!$C$36-Inputs!$C$35)/12)^(24-V$2-($B$2:$M$2-1)))</f>
        <v>0</v>
      </c>
      <c r="W82" s="70">
        <f>'Rep capacity'!$C$13*Inputs!$C$28*SUMPRODUCT((($B$2:$M$2-1)&lt;=24-W$2)*(((($B$2:$M$2-1)-Inputs!$C$30)&gt;=Inputs!$C$32)+((($B$2:$M$2-1)-Inputs!$C$30)&lt;Inputs!$C$32)*(((($B$2:$M$2-1)-Inputs!$C$30)/MAX(Inputs!$C$32,1)&gt;Inputs!$C$33)*(($B$2:$M$2-1)-Inputs!$C$30)/MAX(Inputs!$C$32,1)+((($B$2:$M$2-1)-Inputs!$C$30)/MAX(Inputs!$C$32,1)&lt;=Inputs!$C$33)*Inputs!$C$33))*((1-Inputs!$C$34)^(1/12))^($B$2:$M$2-1)*(1+(Inputs!$C$37-Inputs!$C$36-Inputs!$C$35)/12)^(24-W$2-($B$2:$M$2-1)))</f>
        <v>0</v>
      </c>
      <c r="X82" s="70">
        <f>'Rep capacity'!$C$13*Inputs!$C$28*SUMPRODUCT((($B$2:$M$2-1)&lt;=24-X$2)*(((($B$2:$M$2-1)-Inputs!$C$30)&gt;=Inputs!$C$32)+((($B$2:$M$2-1)-Inputs!$C$30)&lt;Inputs!$C$32)*(((($B$2:$M$2-1)-Inputs!$C$30)/MAX(Inputs!$C$32,1)&gt;Inputs!$C$33)*(($B$2:$M$2-1)-Inputs!$C$30)/MAX(Inputs!$C$32,1)+((($B$2:$M$2-1)-Inputs!$C$30)/MAX(Inputs!$C$32,1)&lt;=Inputs!$C$33)*Inputs!$C$33))*((1-Inputs!$C$34)^(1/12))^($B$2:$M$2-1)*(1+(Inputs!$C$37-Inputs!$C$36-Inputs!$C$35)/12)^(24-X$2-($B$2:$M$2-1)))</f>
        <v>0</v>
      </c>
      <c r="Y82" s="70">
        <f>'Rep capacity'!$C$13*Inputs!$C$28*SUMPRODUCT((($B$2:$M$2-1)&lt;=24-Y$2)*(((($B$2:$M$2-1)-Inputs!$C$30)&gt;=Inputs!$C$32)+((($B$2:$M$2-1)-Inputs!$C$30)&lt;Inputs!$C$32)*(((($B$2:$M$2-1)-Inputs!$C$30)/MAX(Inputs!$C$32,1)&gt;Inputs!$C$33)*(($B$2:$M$2-1)-Inputs!$C$30)/MAX(Inputs!$C$32,1)+((($B$2:$M$2-1)-Inputs!$C$30)/MAX(Inputs!$C$32,1)&lt;=Inputs!$C$33)*Inputs!$C$33))*((1-Inputs!$C$34)^(1/12))^($B$2:$M$2-1)*(1+(Inputs!$C$37-Inputs!$C$36-Inputs!$C$35)/12)^(24-Y$2-($B$2:$M$2-1)))</f>
        <v>0</v>
      </c>
      <c r="Z82" s="70"/>
      <c r="AA82" s="70"/>
    </row>
    <row r="83" outlineLevel="1">
      <c r="A83" s="6" t="s">
        <v>325</v>
      </c>
      <c r="B83" s="74">
        <v>0.0</v>
      </c>
      <c r="C83" s="70">
        <f t="shared" ref="C83:M83" si="51">SUMPRODUCT($B84:B84,$B82:B82)</f>
        <v>0</v>
      </c>
      <c r="D83" s="70">
        <f t="shared" si="51"/>
        <v>0</v>
      </c>
      <c r="E83" s="70">
        <f t="shared" si="51"/>
        <v>0</v>
      </c>
      <c r="F83" s="70">
        <f t="shared" si="51"/>
        <v>0</v>
      </c>
      <c r="G83" s="70">
        <f t="shared" si="51"/>
        <v>0</v>
      </c>
      <c r="H83" s="70">
        <f t="shared" si="51"/>
        <v>0</v>
      </c>
      <c r="I83" s="70">
        <f t="shared" si="51"/>
        <v>0</v>
      </c>
      <c r="J83" s="70">
        <f t="shared" si="51"/>
        <v>0</v>
      </c>
      <c r="K83" s="70">
        <f t="shared" si="51"/>
        <v>0</v>
      </c>
      <c r="L83" s="70">
        <f t="shared" si="51"/>
        <v>0</v>
      </c>
      <c r="M83" s="70">
        <f t="shared" si="51"/>
        <v>0</v>
      </c>
      <c r="N83" s="74">
        <v>0.0</v>
      </c>
      <c r="O83" s="70">
        <f t="shared" ref="O83:Y83" si="52">SUMPRODUCT($N84:N84,$N82:N82)</f>
        <v>881514.7584</v>
      </c>
      <c r="P83" s="70">
        <f t="shared" si="52"/>
        <v>881514.7584</v>
      </c>
      <c r="Q83" s="70">
        <f t="shared" si="52"/>
        <v>881514.7584</v>
      </c>
      <c r="R83" s="70">
        <f t="shared" si="52"/>
        <v>881514.7584</v>
      </c>
      <c r="S83" s="70">
        <f t="shared" si="52"/>
        <v>881514.7584</v>
      </c>
      <c r="T83" s="70">
        <f t="shared" si="52"/>
        <v>881514.7584</v>
      </c>
      <c r="U83" s="70">
        <f t="shared" si="52"/>
        <v>881514.7584</v>
      </c>
      <c r="V83" s="70">
        <f t="shared" si="52"/>
        <v>881514.7584</v>
      </c>
      <c r="W83" s="70">
        <f t="shared" si="52"/>
        <v>881514.7584</v>
      </c>
      <c r="X83" s="70">
        <f t="shared" si="52"/>
        <v>881514.7584</v>
      </c>
      <c r="Y83" s="70">
        <f t="shared" si="52"/>
        <v>881514.7584</v>
      </c>
      <c r="Z83" s="70">
        <f>SUMPRODUCT(B84:M84,B82:M82)</f>
        <v>0</v>
      </c>
      <c r="AA83" s="70">
        <f>SUMPRODUCT(N84:Y84,N82:Y82)</f>
        <v>881514.7584</v>
      </c>
    </row>
    <row r="84" outlineLevel="1">
      <c r="A84" s="12" t="s">
        <v>326</v>
      </c>
      <c r="B84" s="72">
        <f>IF(OR(B$2&lt;Inputs!$B$16,MOD(B$2-Inputs!$B$16,MAX(1,Inputs!$B$15))&lt;&gt;0),0,IF(B82&lt;=0,0,MAX(0,MIN(Inputs!$C$14,ROUNDUP(MAX(0,ROUND(B81-B83,0))/B82,0)))))</f>
        <v>0</v>
      </c>
      <c r="C84" s="72">
        <f>IF(OR(C$2&lt;Inputs!$B$16,MOD(C$2-Inputs!$B$16,MAX(1,Inputs!$B$15))&lt;&gt;0),0,IF(C82&lt;=0,0,MAX(0,MIN(Inputs!$C$14,ROUNDUP(MAX(0,ROUND(C81-C83,0))/C82,0)))))</f>
        <v>0</v>
      </c>
      <c r="D84" s="72">
        <f>IF(OR(D$2&lt;Inputs!$B$16,MOD(D$2-Inputs!$B$16,MAX(1,Inputs!$B$15))&lt;&gt;0),0,IF(D82&lt;=0,0,MAX(0,MIN(Inputs!$C$14,ROUNDUP(MAX(0,ROUND(D81-D83,0))/D82,0)))))</f>
        <v>0</v>
      </c>
      <c r="E84" s="72">
        <f>IF(OR(E$2&lt;Inputs!$B$16,MOD(E$2-Inputs!$B$16,MAX(1,Inputs!$B$15))&lt;&gt;0),0,IF(E82&lt;=0,0,MAX(0,MIN(Inputs!$C$14,ROUNDUP(MAX(0,ROUND(E81-E83,0))/E82,0)))))</f>
        <v>0</v>
      </c>
      <c r="F84" s="72">
        <f>IF(OR(F$2&lt;Inputs!$B$16,MOD(F$2-Inputs!$B$16,MAX(1,Inputs!$B$15))&lt;&gt;0),0,IF(F82&lt;=0,0,MAX(0,MIN(Inputs!$C$14,ROUNDUP(MAX(0,ROUND(F81-F83,0))/F82,0)))))</f>
        <v>0</v>
      </c>
      <c r="G84" s="72">
        <f>IF(OR(G$2&lt;Inputs!$B$16,MOD(G$2-Inputs!$B$16,MAX(1,Inputs!$B$15))&lt;&gt;0),0,IF(G82&lt;=0,0,MAX(0,MIN(Inputs!$C$14,ROUNDUP(MAX(0,ROUND(G81-G83,0))/G82,0)))))</f>
        <v>0</v>
      </c>
      <c r="H84" s="72">
        <f>IF(OR(H$2&lt;Inputs!$B$16,MOD(H$2-Inputs!$B$16,MAX(1,Inputs!$B$15))&lt;&gt;0),0,IF(H82&lt;=0,0,MAX(0,MIN(Inputs!$C$14,ROUNDUP(MAX(0,ROUND(H81-H83,0))/H82,0)))))</f>
        <v>0</v>
      </c>
      <c r="I84" s="72">
        <f>IF(OR(I$2&lt;Inputs!$B$16,MOD(I$2-Inputs!$B$16,MAX(1,Inputs!$B$15))&lt;&gt;0),0,IF(I82&lt;=0,0,MAX(0,MIN(Inputs!$C$14,ROUNDUP(MAX(0,ROUND(I81-I83,0))/I82,0)))))</f>
        <v>0</v>
      </c>
      <c r="J84" s="72">
        <f>IF(OR(J$2&lt;Inputs!$B$16,MOD(J$2-Inputs!$B$16,MAX(1,Inputs!$B$15))&lt;&gt;0),0,IF(J82&lt;=0,0,MAX(0,MIN(Inputs!$C$14,ROUNDUP(MAX(0,ROUND(J81-J83,0))/J82,0)))))</f>
        <v>0</v>
      </c>
      <c r="K84" s="72">
        <f>IF(OR(K$2&lt;Inputs!$B$16,MOD(K$2-Inputs!$B$16,MAX(1,Inputs!$B$15))&lt;&gt;0),0,IF(K82&lt;=0,0,MAX(0,MIN(Inputs!$C$14,ROUNDUP(MAX(0,ROUND(K81-K83,0))/K82,0)))))</f>
        <v>0</v>
      </c>
      <c r="L84" s="72">
        <f>IF(OR(L$2&lt;Inputs!$B$16,MOD(L$2-Inputs!$B$16,MAX(1,Inputs!$B$15))&lt;&gt;0),0,IF(L82&lt;=0,0,MAX(0,MIN(Inputs!$C$14,ROUNDUP(MAX(0,ROUND(L81-L83,0))/L82,0)))))</f>
        <v>0</v>
      </c>
      <c r="M84" s="72">
        <f>IF(OR(M$2&lt;Inputs!$B$16,MOD(M$2-Inputs!$B$16,MAX(1,Inputs!$B$15))&lt;&gt;0),0,IF(M82&lt;=0,0,MAX(0,MIN(Inputs!$C$14,ROUNDUP(MAX(0,ROUND(M81-M83,0))/M82,0)))))</f>
        <v>0</v>
      </c>
      <c r="N84" s="72">
        <f>IF(OR(N$2&lt;Inputs!$B$16,MOD(N$2-Inputs!$B$16,MAX(1,Inputs!$B$15))&lt;&gt;0),0,IF(N82&lt;=0,0,MAX(0,MIN(Inputs!$C$14,ROUNDUP(MAX(0,ROUND(N81-N83,0))/N82,0)))))</f>
        <v>3</v>
      </c>
      <c r="O84" s="72">
        <f>IF(OR(O$2&lt;Inputs!$B$16,MOD(O$2-Inputs!$B$16,MAX(1,Inputs!$B$15))&lt;&gt;0),0,IF(O82&lt;=0,0,MAX(0,MIN(Inputs!$C$14,ROUNDUP(MAX(0,ROUND(O81-O83,0))/O82,0)))))</f>
        <v>0</v>
      </c>
      <c r="P84" s="72">
        <f>IF(OR(P$2&lt;Inputs!$B$16,MOD(P$2-Inputs!$B$16,MAX(1,Inputs!$B$15))&lt;&gt;0),0,IF(P82&lt;=0,0,MAX(0,MIN(Inputs!$C$14,ROUNDUP(MAX(0,ROUND(P81-P83,0))/P82,0)))))</f>
        <v>0</v>
      </c>
      <c r="Q84" s="72">
        <f>IF(OR(Q$2&lt;Inputs!$B$16,MOD(Q$2-Inputs!$B$16,MAX(1,Inputs!$B$15))&lt;&gt;0),0,IF(Q82&lt;=0,0,MAX(0,MIN(Inputs!$C$14,ROUNDUP(MAX(0,ROUND(Q81-Q83,0))/Q82,0)))))</f>
        <v>0</v>
      </c>
      <c r="R84" s="72">
        <f>IF(OR(R$2&lt;Inputs!$B$16,MOD(R$2-Inputs!$B$16,MAX(1,Inputs!$B$15))&lt;&gt;0),0,IF(R82&lt;=0,0,MAX(0,MIN(Inputs!$C$14,ROUNDUP(MAX(0,ROUND(R81-R83,0))/R82,0)))))</f>
        <v>0</v>
      </c>
      <c r="S84" s="72">
        <f>IF(OR(S$2&lt;Inputs!$B$16,MOD(S$2-Inputs!$B$16,MAX(1,Inputs!$B$15))&lt;&gt;0),0,IF(S82&lt;=0,0,MAX(0,MIN(Inputs!$C$14,ROUNDUP(MAX(0,ROUND(S81-S83,0))/S82,0)))))</f>
        <v>0</v>
      </c>
      <c r="T84" s="72">
        <f>IF(OR(T$2&lt;Inputs!$B$16,MOD(T$2-Inputs!$B$16,MAX(1,Inputs!$B$15))&lt;&gt;0),0,IF(T82&lt;=0,0,MAX(0,MIN(Inputs!$C$14,ROUNDUP(MAX(0,ROUND(T81-T83,0))/T82,0)))))</f>
        <v>0</v>
      </c>
      <c r="U84" s="72">
        <f>IF(OR(U$2&lt;Inputs!$B$16,MOD(U$2-Inputs!$B$16,MAX(1,Inputs!$B$15))&lt;&gt;0),0,IF(U82&lt;=0,0,MAX(0,MIN(Inputs!$C$14,ROUNDUP(MAX(0,ROUND(U81-U83,0))/U82,0)))))</f>
        <v>0</v>
      </c>
      <c r="V84" s="72">
        <f>IF(OR(V$2&lt;Inputs!$B$16,MOD(V$2-Inputs!$B$16,MAX(1,Inputs!$B$15))&lt;&gt;0),0,IF(V82&lt;=0,0,MAX(0,MIN(Inputs!$C$14,ROUNDUP(MAX(0,ROUND(V81-V83,0))/V82,0)))))</f>
        <v>0</v>
      </c>
      <c r="W84" s="72">
        <f>IF(OR(W$2&lt;Inputs!$B$16,MOD(W$2-Inputs!$B$16,MAX(1,Inputs!$B$15))&lt;&gt;0),0,IF(W82&lt;=0,0,MAX(0,MIN(Inputs!$C$14,ROUNDUP(MAX(0,ROUND(W81-W83,0))/W82,0)))))</f>
        <v>0</v>
      </c>
      <c r="X84" s="72">
        <f>IF(OR(X$2&lt;Inputs!$B$16,MOD(X$2-Inputs!$B$16,MAX(1,Inputs!$B$15))&lt;&gt;0),0,IF(X82&lt;=0,0,MAX(0,MIN(Inputs!$C$14,ROUNDUP(MAX(0,ROUND(X81-X83,0))/X82,0)))))</f>
        <v>0</v>
      </c>
      <c r="Y84" s="72">
        <f>IF(OR(Y$2&lt;Inputs!$B$16,MOD(Y$2-Inputs!$B$16,MAX(1,Inputs!$B$15))&lt;&gt;0),0,IF(Y82&lt;=0,0,MAX(0,MIN(Inputs!$C$14,ROUNDUP(MAX(0,ROUND(Y81-Y83,0))/Y82,0)))))</f>
        <v>0</v>
      </c>
      <c r="Z84" s="72">
        <f t="shared" ref="Z84:Z85" si="53">SUM(B84:M84)</f>
        <v>0</v>
      </c>
      <c r="AA84" s="72">
        <f t="shared" ref="AA84:AA85" si="54">SUM(N84:Y84)</f>
        <v>3</v>
      </c>
    </row>
    <row r="85" outlineLevel="1">
      <c r="A85" s="6" t="s">
        <v>327</v>
      </c>
      <c r="B85" s="73">
        <f>Inputs!J$68</f>
        <v>0</v>
      </c>
      <c r="C85" s="73">
        <f>Inputs!K$68</f>
        <v>0</v>
      </c>
      <c r="D85" s="73">
        <f>Inputs!L$68</f>
        <v>0</v>
      </c>
      <c r="E85" s="73">
        <f>Inputs!M$68</f>
        <v>0</v>
      </c>
      <c r="F85" s="73">
        <f>Inputs!N$68</f>
        <v>0</v>
      </c>
      <c r="G85" s="73">
        <f>Inputs!O$68</f>
        <v>0</v>
      </c>
      <c r="H85" s="73">
        <f>Inputs!P$68</f>
        <v>0</v>
      </c>
      <c r="I85" s="73">
        <f>Inputs!Q$68</f>
        <v>0</v>
      </c>
      <c r="J85" s="73">
        <f>Inputs!R$68</f>
        <v>0</v>
      </c>
      <c r="K85" s="73">
        <f>Inputs!S$68</f>
        <v>0</v>
      </c>
      <c r="L85" s="73">
        <f>Inputs!T$68</f>
        <v>0</v>
      </c>
      <c r="M85" s="73">
        <f>Inputs!U$68</f>
        <v>0</v>
      </c>
      <c r="N85" s="73">
        <f>Inputs!V$68</f>
        <v>3</v>
      </c>
      <c r="O85" s="73">
        <f>Inputs!W$68</f>
        <v>0</v>
      </c>
      <c r="P85" s="73">
        <f>Inputs!X$68</f>
        <v>0</v>
      </c>
      <c r="Q85" s="73">
        <f>Inputs!Y$68</f>
        <v>0</v>
      </c>
      <c r="R85" s="73">
        <f>Inputs!Z$68</f>
        <v>0</v>
      </c>
      <c r="S85" s="73">
        <f>Inputs!AA$68</f>
        <v>0</v>
      </c>
      <c r="T85" s="73">
        <f>Inputs!AB$68</f>
        <v>0</v>
      </c>
      <c r="U85" s="73">
        <f>Inputs!AC$68</f>
        <v>0</v>
      </c>
      <c r="V85" s="73">
        <f>Inputs!AD$68</f>
        <v>0</v>
      </c>
      <c r="W85" s="73">
        <f>Inputs!AE$68</f>
        <v>0</v>
      </c>
      <c r="X85" s="73">
        <f>Inputs!AF$68</f>
        <v>0</v>
      </c>
      <c r="Y85" s="73">
        <f>Inputs!AG$68</f>
        <v>0</v>
      </c>
      <c r="Z85" s="73">
        <f t="shared" si="53"/>
        <v>0</v>
      </c>
      <c r="AA85" s="73">
        <f t="shared" si="54"/>
        <v>3</v>
      </c>
    </row>
    <row r="86" outlineLevel="1">
      <c r="A86" s="6" t="s">
        <v>328</v>
      </c>
      <c r="B86" s="70">
        <f t="shared" ref="B86:M86" si="55">SUMPRODUCT($B85:B85,$B82:B82)</f>
        <v>0</v>
      </c>
      <c r="C86" s="70">
        <f t="shared" si="55"/>
        <v>0</v>
      </c>
      <c r="D86" s="70">
        <f t="shared" si="55"/>
        <v>0</v>
      </c>
      <c r="E86" s="70">
        <f t="shared" si="55"/>
        <v>0</v>
      </c>
      <c r="F86" s="70">
        <f t="shared" si="55"/>
        <v>0</v>
      </c>
      <c r="G86" s="70">
        <f t="shared" si="55"/>
        <v>0</v>
      </c>
      <c r="H86" s="70">
        <f t="shared" si="55"/>
        <v>0</v>
      </c>
      <c r="I86" s="70">
        <f t="shared" si="55"/>
        <v>0</v>
      </c>
      <c r="J86" s="70">
        <f t="shared" si="55"/>
        <v>0</v>
      </c>
      <c r="K86" s="70">
        <f t="shared" si="55"/>
        <v>0</v>
      </c>
      <c r="L86" s="70">
        <f t="shared" si="55"/>
        <v>0</v>
      </c>
      <c r="M86" s="70">
        <f t="shared" si="55"/>
        <v>0</v>
      </c>
      <c r="N86" s="70">
        <f t="shared" ref="N86:Y86" si="56">SUMPRODUCT($N85:N85,$N82:N82)</f>
        <v>881514.7584</v>
      </c>
      <c r="O86" s="70">
        <f t="shared" si="56"/>
        <v>881514.7584</v>
      </c>
      <c r="P86" s="70">
        <f t="shared" si="56"/>
        <v>881514.7584</v>
      </c>
      <c r="Q86" s="70">
        <f t="shared" si="56"/>
        <v>881514.7584</v>
      </c>
      <c r="R86" s="70">
        <f t="shared" si="56"/>
        <v>881514.7584</v>
      </c>
      <c r="S86" s="70">
        <f t="shared" si="56"/>
        <v>881514.7584</v>
      </c>
      <c r="T86" s="70">
        <f t="shared" si="56"/>
        <v>881514.7584</v>
      </c>
      <c r="U86" s="70">
        <f t="shared" si="56"/>
        <v>881514.7584</v>
      </c>
      <c r="V86" s="70">
        <f t="shared" si="56"/>
        <v>881514.7584</v>
      </c>
      <c r="W86" s="70">
        <f t="shared" si="56"/>
        <v>881514.7584</v>
      </c>
      <c r="X86" s="70">
        <f t="shared" si="56"/>
        <v>881514.7584</v>
      </c>
      <c r="Y86" s="70">
        <f t="shared" si="56"/>
        <v>881514.7584</v>
      </c>
      <c r="Z86" s="70">
        <f>M86</f>
        <v>0</v>
      </c>
      <c r="AA86" s="70">
        <f>Y86</f>
        <v>881514.7584</v>
      </c>
    </row>
    <row r="87" outlineLevel="1">
      <c r="A87" s="3"/>
    </row>
    <row r="88">
      <c r="A88" s="4" t="s">
        <v>330</v>
      </c>
      <c r="B88" s="46"/>
      <c r="C88" s="46"/>
      <c r="D88" s="46"/>
      <c r="E88" s="46"/>
      <c r="F88" s="46"/>
      <c r="G88" s="46"/>
      <c r="H88" s="46"/>
      <c r="I88" s="46"/>
      <c r="J88" s="46"/>
      <c r="K88" s="46"/>
      <c r="L88" s="46"/>
      <c r="M88" s="46"/>
      <c r="N88" s="46"/>
      <c r="O88" s="46"/>
      <c r="P88" s="46"/>
      <c r="Q88" s="46"/>
      <c r="R88" s="46"/>
      <c r="S88" s="46"/>
      <c r="T88" s="46"/>
      <c r="U88" s="46"/>
      <c r="V88" s="46"/>
      <c r="W88" s="46"/>
      <c r="X88" s="46"/>
      <c r="Y88" s="46"/>
      <c r="Z88" s="46"/>
      <c r="AA88" s="46"/>
    </row>
    <row r="89" outlineLevel="1">
      <c r="A89" s="6" t="s">
        <v>299</v>
      </c>
      <c r="B89" s="70">
        <f>Inputs!$B$8*Inputs!$D$18+Inputs!$D$20*Inputs!$B$9</f>
        <v>4800000</v>
      </c>
      <c r="C89" s="70">
        <f>Inputs!$B$8*Inputs!$D$18+Inputs!$D$20*Inputs!$B$9</f>
        <v>4800000</v>
      </c>
      <c r="D89" s="70">
        <f>Inputs!$B$8*Inputs!$D$18+Inputs!$D$20*Inputs!$B$9</f>
        <v>4800000</v>
      </c>
      <c r="E89" s="70">
        <f>Inputs!$B$8*Inputs!$D$18+Inputs!$D$20*Inputs!$B$9</f>
        <v>4800000</v>
      </c>
      <c r="F89" s="70">
        <f>Inputs!$B$8*Inputs!$D$18+Inputs!$D$20*Inputs!$B$9</f>
        <v>4800000</v>
      </c>
      <c r="G89" s="70">
        <f>Inputs!$B$8*Inputs!$D$18+Inputs!$D$20*Inputs!$B$9</f>
        <v>4800000</v>
      </c>
      <c r="H89" s="70">
        <f>Inputs!$B$8*Inputs!$D$18+Inputs!$D$20*Inputs!$B$9</f>
        <v>4800000</v>
      </c>
      <c r="I89" s="70">
        <f>Inputs!$B$8*Inputs!$D$18+Inputs!$D$20*Inputs!$B$9</f>
        <v>4800000</v>
      </c>
      <c r="J89" s="70">
        <f>Inputs!$B$8*Inputs!$D$18+Inputs!$D$20*Inputs!$B$9</f>
        <v>4800000</v>
      </c>
      <c r="K89" s="70">
        <f>Inputs!$B$8*Inputs!$D$18+Inputs!$D$20*Inputs!$B$9</f>
        <v>4800000</v>
      </c>
      <c r="L89" s="70">
        <f>Inputs!$B$8*Inputs!$D$18+Inputs!$D$20*Inputs!$B$9</f>
        <v>4800000</v>
      </c>
      <c r="M89" s="70">
        <f>Inputs!$B$8*Inputs!$D$18+Inputs!$D$20*Inputs!$B$9</f>
        <v>4800000</v>
      </c>
      <c r="N89" s="70">
        <f>Inputs!$B$8*Inputs!$D$18+Inputs!$D$20*(Inputs!$B$9+Inputs!$B$10)</f>
        <v>7600000</v>
      </c>
      <c r="O89" s="70">
        <f>Inputs!$B$8*Inputs!$D$18+Inputs!$D$20*(Inputs!$B$9+Inputs!$B$10)</f>
        <v>7600000</v>
      </c>
      <c r="P89" s="70">
        <f>Inputs!$B$8*Inputs!$D$18+Inputs!$D$20*(Inputs!$B$9+Inputs!$B$10)</f>
        <v>7600000</v>
      </c>
      <c r="Q89" s="70">
        <f>Inputs!$B$8*Inputs!$D$18+Inputs!$D$20*(Inputs!$B$9+Inputs!$B$10)</f>
        <v>7600000</v>
      </c>
      <c r="R89" s="70">
        <f>Inputs!$B$8*Inputs!$D$18+Inputs!$D$20*(Inputs!$B$9+Inputs!$B$10)</f>
        <v>7600000</v>
      </c>
      <c r="S89" s="70">
        <f>Inputs!$B$8*Inputs!$D$18+Inputs!$D$20*(Inputs!$B$9+Inputs!$B$10)</f>
        <v>7600000</v>
      </c>
      <c r="T89" s="70">
        <f>Inputs!$B$8*Inputs!$D$18+Inputs!$D$20*(Inputs!$B$9+Inputs!$B$10)</f>
        <v>7600000</v>
      </c>
      <c r="U89" s="70">
        <f>Inputs!$B$8*Inputs!$D$18+Inputs!$D$20*(Inputs!$B$9+Inputs!$B$10)</f>
        <v>7600000</v>
      </c>
      <c r="V89" s="70">
        <f>Inputs!$B$8*Inputs!$D$18+Inputs!$D$20*(Inputs!$B$9+Inputs!$B$10)</f>
        <v>7600000</v>
      </c>
      <c r="W89" s="70">
        <f>Inputs!$B$8*Inputs!$D$18+Inputs!$D$20*(Inputs!$B$9+Inputs!$B$10)</f>
        <v>7600000</v>
      </c>
      <c r="X89" s="70">
        <f>Inputs!$B$8*Inputs!$D$18+Inputs!$D$20*(Inputs!$B$9+Inputs!$B$10)</f>
        <v>7600000</v>
      </c>
      <c r="Y89" s="70">
        <f>Inputs!$B$8*Inputs!$D$18+Inputs!$D$20*(Inputs!$B$9+Inputs!$B$10)</f>
        <v>7600000</v>
      </c>
      <c r="Z89" s="70">
        <f>M89</f>
        <v>4800000</v>
      </c>
      <c r="AA89" s="70">
        <f>Y89</f>
        <v>7600000</v>
      </c>
    </row>
    <row r="90" outlineLevel="1">
      <c r="A90" s="6" t="s">
        <v>321</v>
      </c>
      <c r="B90" s="70">
        <f>Inputs!$D$31*((1-Inputs!$D$34)^(1/12))^B$2*'Rep capacity'!$D$13*Inputs!$D$28</f>
        <v>147982.2079</v>
      </c>
      <c r="C90" s="70">
        <f>Inputs!$D$31*((1-Inputs!$D$34)^(1/12))^C$2*'Rep capacity'!$D$13*Inputs!$D$28</f>
        <v>145991.5591</v>
      </c>
      <c r="D90" s="70">
        <f>Inputs!$D$31*((1-Inputs!$D$34)^(1/12))^D$2*'Rep capacity'!$D$13*Inputs!$D$28</f>
        <v>144027.6884</v>
      </c>
      <c r="E90" s="70">
        <f>Inputs!$D$31*((1-Inputs!$D$34)^(1/12))^E$2*'Rep capacity'!$D$13*Inputs!$D$28</f>
        <v>142090.2356</v>
      </c>
      <c r="F90" s="70">
        <f>Inputs!$D$31*((1-Inputs!$D$34)^(1/12))^F$2*'Rep capacity'!$D$13*Inputs!$D$28</f>
        <v>140178.8453</v>
      </c>
      <c r="G90" s="70">
        <f>Inputs!$D$31*((1-Inputs!$D$34)^(1/12))^G$2*'Rep capacity'!$D$13*Inputs!$D$28</f>
        <v>138293.1669</v>
      </c>
      <c r="H90" s="70">
        <f>Inputs!$D$31*((1-Inputs!$D$34)^(1/12))^H$2*'Rep capacity'!$D$13*Inputs!$D$28</f>
        <v>136432.8545</v>
      </c>
      <c r="I90" s="70">
        <f>Inputs!$D$31*((1-Inputs!$D$34)^(1/12))^I$2*'Rep capacity'!$D$13*Inputs!$D$28</f>
        <v>134597.567</v>
      </c>
      <c r="J90" s="70">
        <f>Inputs!$D$31*((1-Inputs!$D$34)^(1/12))^J$2*'Rep capacity'!$D$13*Inputs!$D$28</f>
        <v>132786.9676</v>
      </c>
      <c r="K90" s="70">
        <f>Inputs!$D$31*((1-Inputs!$D$34)^(1/12))^K$2*'Rep capacity'!$D$13*Inputs!$D$28</f>
        <v>131000.7244</v>
      </c>
      <c r="L90" s="70">
        <f>Inputs!$D$31*((1-Inputs!$D$34)^(1/12))^L$2*'Rep capacity'!$D$13*Inputs!$D$28</f>
        <v>129238.5096</v>
      </c>
      <c r="M90" s="70">
        <f>Inputs!$D$31*((1-Inputs!$D$34)^(1/12))^M$2*'Rep capacity'!$D$13*Inputs!$D$28</f>
        <v>127500</v>
      </c>
      <c r="N90" s="70">
        <f>(Inputs!$D$31*((1-Inputs!$D$34)^(1/12))^N$2+SUMPRODUCT($B95:$M95,((((N$2-$B$2:$M$2)-Inputs!$D$30)&gt;=Inputs!$D$32)+(((N$2-$B$2:$M$2)-Inputs!$D$30)&lt;Inputs!$D$32)*((((N$2-$B$2:$M$2)-Inputs!$D$30)/MAX(Inputs!$D$32,1)&gt;Inputs!$D$33)*((N$2-$B$2:$M$2)-Inputs!$D$30)/MAX(Inputs!$D$32,1)+(((N$2-$B$2:$M$2)-Inputs!$D$30)/MAX(Inputs!$D$32,1)&lt;=Inputs!$D$33)*Inputs!$D$33)),((1-Inputs!$D$34)^(1/12))^(N$2-$B$2:$M$2)))*'Rep capacity'!$D$13*Inputs!$D$28</f>
        <v>253284.8768</v>
      </c>
      <c r="O90" s="70">
        <f>(Inputs!$D$31*((1-Inputs!$D$34)^(1/12))^O$2+SUMPRODUCT($B95:$M95,((((O$2-$B$2:$M$2)-Inputs!$D$30)&gt;=Inputs!$D$32)+(((O$2-$B$2:$M$2)-Inputs!$D$30)&lt;Inputs!$D$32)*((((O$2-$B$2:$M$2)-Inputs!$D$30)/MAX(Inputs!$D$32,1)&gt;Inputs!$D$33)*((O$2-$B$2:$M$2)-Inputs!$D$30)/MAX(Inputs!$D$32,1)+(((O$2-$B$2:$M$2)-Inputs!$D$30)/MAX(Inputs!$D$32,1)&lt;=Inputs!$D$33)*Inputs!$D$33)),((1-Inputs!$D$34)^(1/12))^(O$2-$B$2:$M$2)))*'Rep capacity'!$D$13*Inputs!$D$28</f>
        <v>249877.702</v>
      </c>
      <c r="P90" s="70">
        <f>(Inputs!$D$31*((1-Inputs!$D$34)^(1/12))^P$2+SUMPRODUCT($B95:$M95,((((P$2-$B$2:$M$2)-Inputs!$D$30)&gt;=Inputs!$D$32)+(((P$2-$B$2:$M$2)-Inputs!$D$30)&lt;Inputs!$D$32)*((((P$2-$B$2:$M$2)-Inputs!$D$30)/MAX(Inputs!$D$32,1)&gt;Inputs!$D$33)*((P$2-$B$2:$M$2)-Inputs!$D$30)/MAX(Inputs!$D$32,1)+(((P$2-$B$2:$M$2)-Inputs!$D$30)/MAX(Inputs!$D$32,1)&lt;=Inputs!$D$33)*Inputs!$D$33)),((1-Inputs!$D$34)^(1/12))^(P$2-$B$2:$M$2)))*'Rep capacity'!$D$13*Inputs!$D$28</f>
        <v>246516.3604</v>
      </c>
      <c r="Q90" s="70">
        <f>(Inputs!$D$31*((1-Inputs!$D$34)^(1/12))^Q$2+SUMPRODUCT($B95:$M95,((((Q$2-$B$2:$M$2)-Inputs!$D$30)&gt;=Inputs!$D$32)+(((Q$2-$B$2:$M$2)-Inputs!$D$30)&lt;Inputs!$D$32)*((((Q$2-$B$2:$M$2)-Inputs!$D$30)/MAX(Inputs!$D$32,1)&gt;Inputs!$D$33)*((Q$2-$B$2:$M$2)-Inputs!$D$30)/MAX(Inputs!$D$32,1)+(((Q$2-$B$2:$M$2)-Inputs!$D$30)/MAX(Inputs!$D$32,1)&lt;=Inputs!$D$33)*Inputs!$D$33)),((1-Inputs!$D$34)^(1/12))^(Q$2-$B$2:$M$2)))*'Rep capacity'!$D$13*Inputs!$D$28</f>
        <v>243200.2354</v>
      </c>
      <c r="R90" s="70">
        <f>(Inputs!$D$31*((1-Inputs!$D$34)^(1/12))^R$2+SUMPRODUCT($B95:$M95,((((R$2-$B$2:$M$2)-Inputs!$D$30)&gt;=Inputs!$D$32)+(((R$2-$B$2:$M$2)-Inputs!$D$30)&lt;Inputs!$D$32)*((((R$2-$B$2:$M$2)-Inputs!$D$30)/MAX(Inputs!$D$32,1)&gt;Inputs!$D$33)*((R$2-$B$2:$M$2)-Inputs!$D$30)/MAX(Inputs!$D$32,1)+(((R$2-$B$2:$M$2)-Inputs!$D$30)/MAX(Inputs!$D$32,1)&lt;=Inputs!$D$33)*Inputs!$D$33)),((1-Inputs!$D$34)^(1/12))^(R$2-$B$2:$M$2)))*'Rep capacity'!$D$13*Inputs!$D$28</f>
        <v>239928.7187</v>
      </c>
      <c r="S90" s="70">
        <f>(Inputs!$D$31*((1-Inputs!$D$34)^(1/12))^S$2+SUMPRODUCT($B95:$M95,((((S$2-$B$2:$M$2)-Inputs!$D$30)&gt;=Inputs!$D$32)+(((S$2-$B$2:$M$2)-Inputs!$D$30)&lt;Inputs!$D$32)*((((S$2-$B$2:$M$2)-Inputs!$D$30)/MAX(Inputs!$D$32,1)&gt;Inputs!$D$33)*((S$2-$B$2:$M$2)-Inputs!$D$30)/MAX(Inputs!$D$32,1)+(((S$2-$B$2:$M$2)-Inputs!$D$30)/MAX(Inputs!$D$32,1)&lt;=Inputs!$D$33)*Inputs!$D$33)),((1-Inputs!$D$34)^(1/12))^(S$2-$B$2:$M$2)))*'Rep capacity'!$D$13*Inputs!$D$28</f>
        <v>236701.2103</v>
      </c>
      <c r="T90" s="70">
        <f>(Inputs!$D$31*((1-Inputs!$D$34)^(1/12))^T$2+SUMPRODUCT($B95:$M95,((((T$2-$B$2:$M$2)-Inputs!$D$30)&gt;=Inputs!$D$32)+(((T$2-$B$2:$M$2)-Inputs!$D$30)&lt;Inputs!$D$32)*((((T$2-$B$2:$M$2)-Inputs!$D$30)/MAX(Inputs!$D$32,1)&gt;Inputs!$D$33)*((T$2-$B$2:$M$2)-Inputs!$D$30)/MAX(Inputs!$D$32,1)+(((T$2-$B$2:$M$2)-Inputs!$D$30)/MAX(Inputs!$D$32,1)&lt;=Inputs!$D$33)*Inputs!$D$33)),((1-Inputs!$D$34)^(1/12))^(T$2-$B$2:$M$2)))*'Rep capacity'!$D$13*Inputs!$D$28</f>
        <v>233517.1182</v>
      </c>
      <c r="U90" s="70">
        <f>(Inputs!$D$31*((1-Inputs!$D$34)^(1/12))^U$2+SUMPRODUCT($B95:$M95,((((U$2-$B$2:$M$2)-Inputs!$D$30)&gt;=Inputs!$D$32)+(((U$2-$B$2:$M$2)-Inputs!$D$30)&lt;Inputs!$D$32)*((((U$2-$B$2:$M$2)-Inputs!$D$30)/MAX(Inputs!$D$32,1)&gt;Inputs!$D$33)*((U$2-$B$2:$M$2)-Inputs!$D$30)/MAX(Inputs!$D$32,1)+(((U$2-$B$2:$M$2)-Inputs!$D$30)/MAX(Inputs!$D$32,1)&lt;=Inputs!$D$33)*Inputs!$D$33)),((1-Inputs!$D$34)^(1/12))^(U$2-$B$2:$M$2)))*'Rep capacity'!$D$13*Inputs!$D$28</f>
        <v>230375.8583</v>
      </c>
      <c r="V90" s="70">
        <f>(Inputs!$D$31*((1-Inputs!$D$34)^(1/12))^V$2+SUMPRODUCT($B95:$M95,((((V$2-$B$2:$M$2)-Inputs!$D$30)&gt;=Inputs!$D$32)+(((V$2-$B$2:$M$2)-Inputs!$D$30)&lt;Inputs!$D$32)*((((V$2-$B$2:$M$2)-Inputs!$D$30)/MAX(Inputs!$D$32,1)&gt;Inputs!$D$33)*((V$2-$B$2:$M$2)-Inputs!$D$30)/MAX(Inputs!$D$32,1)+(((V$2-$B$2:$M$2)-Inputs!$D$30)/MAX(Inputs!$D$32,1)&lt;=Inputs!$D$33)*Inputs!$D$33)),((1-Inputs!$D$34)^(1/12))^(V$2-$B$2:$M$2)))*'Rep capacity'!$D$13*Inputs!$D$28</f>
        <v>227276.8544</v>
      </c>
      <c r="W90" s="70">
        <f>(Inputs!$D$31*((1-Inputs!$D$34)^(1/12))^W$2+SUMPRODUCT($B95:$M95,((((W$2-$B$2:$M$2)-Inputs!$D$30)&gt;=Inputs!$D$32)+(((W$2-$B$2:$M$2)-Inputs!$D$30)&lt;Inputs!$D$32)*((((W$2-$B$2:$M$2)-Inputs!$D$30)/MAX(Inputs!$D$32,1)&gt;Inputs!$D$33)*((W$2-$B$2:$M$2)-Inputs!$D$30)/MAX(Inputs!$D$32,1)+(((W$2-$B$2:$M$2)-Inputs!$D$30)/MAX(Inputs!$D$32,1)&lt;=Inputs!$D$33)*Inputs!$D$33)),((1-Inputs!$D$34)^(1/12))^(W$2-$B$2:$M$2)))*'Rep capacity'!$D$13*Inputs!$D$28</f>
        <v>224219.5382</v>
      </c>
      <c r="X90" s="70">
        <f>(Inputs!$D$31*((1-Inputs!$D$34)^(1/12))^X$2+SUMPRODUCT($B95:$M95,((((X$2-$B$2:$M$2)-Inputs!$D$30)&gt;=Inputs!$D$32)+(((X$2-$B$2:$M$2)-Inputs!$D$30)&lt;Inputs!$D$32)*((((X$2-$B$2:$M$2)-Inputs!$D$30)/MAX(Inputs!$D$32,1)&gt;Inputs!$D$33)*((X$2-$B$2:$M$2)-Inputs!$D$30)/MAX(Inputs!$D$32,1)+(((X$2-$B$2:$M$2)-Inputs!$D$30)/MAX(Inputs!$D$32,1)&lt;=Inputs!$D$33)*Inputs!$D$33)),((1-Inputs!$D$34)^(1/12))^(X$2-$B$2:$M$2)))*'Rep capacity'!$D$13*Inputs!$D$28</f>
        <v>221203.3489</v>
      </c>
      <c r="Y90" s="70">
        <f>(Inputs!$D$31*((1-Inputs!$D$34)^(1/12))^Y$2+SUMPRODUCT($B95:$M95,((((Y$2-$B$2:$M$2)-Inputs!$D$30)&gt;=Inputs!$D$32)+(((Y$2-$B$2:$M$2)-Inputs!$D$30)&lt;Inputs!$D$32)*((((Y$2-$B$2:$M$2)-Inputs!$D$30)/MAX(Inputs!$D$32,1)&gt;Inputs!$D$33)*((Y$2-$B$2:$M$2)-Inputs!$D$30)/MAX(Inputs!$D$32,1)+(((Y$2-$B$2:$M$2)-Inputs!$D$30)/MAX(Inputs!$D$32,1)&lt;=Inputs!$D$33)*Inputs!$D$33)),((1-Inputs!$D$34)^(1/12))^(Y$2-$B$2:$M$2)))*'Rep capacity'!$D$13*Inputs!$D$28</f>
        <v>218227.7331</v>
      </c>
      <c r="Z90" s="70">
        <f>SUM(B90:M90)</f>
        <v>1650120.326</v>
      </c>
      <c r="AA90" s="70">
        <f>SUM(N90:Y90)</f>
        <v>2824329.555</v>
      </c>
    </row>
    <row r="91" outlineLevel="1">
      <c r="A91" s="6" t="s">
        <v>322</v>
      </c>
      <c r="B91" s="70">
        <f>Inputs!$B$8*Inputs!$D$18*(1+(Inputs!$D$37-Inputs!$D$36-Inputs!$D$35)/12)+B90</f>
        <v>2861482.208</v>
      </c>
      <c r="C91" s="70">
        <f>B91*(1+(Inputs!$D$37-Inputs!$D$36-Inputs!$D$35)/12)+C90</f>
        <v>3021781.178</v>
      </c>
      <c r="D91" s="70">
        <f>C91*(1+(Inputs!$D$37-Inputs!$D$36-Inputs!$D$35)/12)+D90</f>
        <v>3180917.772</v>
      </c>
      <c r="E91" s="70">
        <f>D91*(1+(Inputs!$D$37-Inputs!$D$36-Inputs!$D$35)/12)+E90</f>
        <v>3338912.597</v>
      </c>
      <c r="F91" s="70">
        <f>E91*(1+(Inputs!$D$37-Inputs!$D$36-Inputs!$D$35)/12)+F90</f>
        <v>3495786.005</v>
      </c>
      <c r="G91" s="70">
        <f>F91*(1+(Inputs!$D$37-Inputs!$D$36-Inputs!$D$35)/12)+G90</f>
        <v>3651558.102</v>
      </c>
      <c r="H91" s="70">
        <f>G91*(1+(Inputs!$D$37-Inputs!$D$36-Inputs!$D$35)/12)+H90</f>
        <v>3806248.747</v>
      </c>
      <c r="I91" s="70">
        <f>H91*(1+(Inputs!$D$37-Inputs!$D$36-Inputs!$D$35)/12)+I90</f>
        <v>3959877.558</v>
      </c>
      <c r="J91" s="70">
        <f>I91*(1+(Inputs!$D$37-Inputs!$D$36-Inputs!$D$35)/12)+J90</f>
        <v>4112463.913</v>
      </c>
      <c r="K91" s="70">
        <f>J91*(1+(Inputs!$D$37-Inputs!$D$36-Inputs!$D$35)/12)+K90</f>
        <v>4264026.957</v>
      </c>
      <c r="L91" s="70">
        <f>K91*(1+(Inputs!$D$37-Inputs!$D$36-Inputs!$D$35)/12)+L90</f>
        <v>4414585.601</v>
      </c>
      <c r="M91" s="70">
        <f>L91*(1+(Inputs!$D$37-Inputs!$D$36-Inputs!$D$35)/12)+M90</f>
        <v>4564158.529</v>
      </c>
      <c r="N91" s="70">
        <f>ARR!$M$68*(1+(Inputs!$D$37-Inputs!$D$36-Inputs!$D$35)/12)+N90</f>
        <v>5307178.845</v>
      </c>
      <c r="O91" s="70">
        <f>N91*(1+(Inputs!$D$37-Inputs!$D$36-Inputs!$D$35)/12)+O90</f>
        <v>5583592.441</v>
      </c>
      <c r="P91" s="70">
        <f>O91*(1+(Inputs!$D$37-Inputs!$D$36-Inputs!$D$35)/12)+P90</f>
        <v>5858026.764</v>
      </c>
      <c r="Q91" s="70">
        <f>P91*(1+(Inputs!$D$37-Inputs!$D$36-Inputs!$D$35)/12)+Q90</f>
        <v>6130517.133</v>
      </c>
      <c r="R91" s="70">
        <f>Q91*(1+(Inputs!$D$37-Inputs!$D$36-Inputs!$D$35)/12)+R90</f>
        <v>6401098.437</v>
      </c>
      <c r="S91" s="70">
        <f>R91*(1+(Inputs!$D$37-Inputs!$D$36-Inputs!$D$35)/12)+S90</f>
        <v>6669805.14</v>
      </c>
      <c r="T91" s="70">
        <f>S91*(1+(Inputs!$D$37-Inputs!$D$36-Inputs!$D$35)/12)+T90</f>
        <v>6936671.284</v>
      </c>
      <c r="U91" s="70">
        <f>T91*(1+(Inputs!$D$37-Inputs!$D$36-Inputs!$D$35)/12)+U90</f>
        <v>7201730.498</v>
      </c>
      <c r="V91" s="70">
        <f>U91*(1+(Inputs!$D$37-Inputs!$D$36-Inputs!$D$35)/12)+V90</f>
        <v>7465016.005</v>
      </c>
      <c r="W91" s="70">
        <f>V91*(1+(Inputs!$D$37-Inputs!$D$36-Inputs!$D$35)/12)+W90</f>
        <v>7726560.624</v>
      </c>
      <c r="X91" s="70">
        <f>W91*(1+(Inputs!$D$37-Inputs!$D$36-Inputs!$D$35)/12)+X90</f>
        <v>7986396.776</v>
      </c>
      <c r="Y91" s="70">
        <f>X91*(1+(Inputs!$D$37-Inputs!$D$36-Inputs!$D$35)/12)+Y90</f>
        <v>8244556.493</v>
      </c>
      <c r="Z91" s="70">
        <f t="shared" ref="Z91:Z92" si="59">M91</f>
        <v>4564158.529</v>
      </c>
      <c r="AA91" s="70">
        <f t="shared" ref="AA91:AA92" si="60">Y91</f>
        <v>8244556.493</v>
      </c>
    </row>
    <row r="92" outlineLevel="1">
      <c r="A92" s="6" t="s">
        <v>323</v>
      </c>
      <c r="B92" s="70">
        <f t="shared" ref="B92:M92" si="57">MAX(0,$M89-$M91)</f>
        <v>235841.4705</v>
      </c>
      <c r="C92" s="70">
        <f t="shared" si="57"/>
        <v>235841.4705</v>
      </c>
      <c r="D92" s="70">
        <f t="shared" si="57"/>
        <v>235841.4705</v>
      </c>
      <c r="E92" s="70">
        <f t="shared" si="57"/>
        <v>235841.4705</v>
      </c>
      <c r="F92" s="70">
        <f t="shared" si="57"/>
        <v>235841.4705</v>
      </c>
      <c r="G92" s="70">
        <f t="shared" si="57"/>
        <v>235841.4705</v>
      </c>
      <c r="H92" s="70">
        <f t="shared" si="57"/>
        <v>235841.4705</v>
      </c>
      <c r="I92" s="70">
        <f t="shared" si="57"/>
        <v>235841.4705</v>
      </c>
      <c r="J92" s="70">
        <f t="shared" si="57"/>
        <v>235841.4705</v>
      </c>
      <c r="K92" s="70">
        <f t="shared" si="57"/>
        <v>235841.4705</v>
      </c>
      <c r="L92" s="70">
        <f t="shared" si="57"/>
        <v>235841.4705</v>
      </c>
      <c r="M92" s="70">
        <f t="shared" si="57"/>
        <v>235841.4705</v>
      </c>
      <c r="N92" s="70">
        <f t="shared" ref="N92:Y92" si="58">MAX(0,$Y89-$Y91)</f>
        <v>0</v>
      </c>
      <c r="O92" s="70">
        <f t="shared" si="58"/>
        <v>0</v>
      </c>
      <c r="P92" s="70">
        <f t="shared" si="58"/>
        <v>0</v>
      </c>
      <c r="Q92" s="70">
        <f t="shared" si="58"/>
        <v>0</v>
      </c>
      <c r="R92" s="70">
        <f t="shared" si="58"/>
        <v>0</v>
      </c>
      <c r="S92" s="70">
        <f t="shared" si="58"/>
        <v>0</v>
      </c>
      <c r="T92" s="70">
        <f t="shared" si="58"/>
        <v>0</v>
      </c>
      <c r="U92" s="70">
        <f t="shared" si="58"/>
        <v>0</v>
      </c>
      <c r="V92" s="70">
        <f t="shared" si="58"/>
        <v>0</v>
      </c>
      <c r="W92" s="70">
        <f t="shared" si="58"/>
        <v>0</v>
      </c>
      <c r="X92" s="70">
        <f t="shared" si="58"/>
        <v>0</v>
      </c>
      <c r="Y92" s="70">
        <f t="shared" si="58"/>
        <v>0</v>
      </c>
      <c r="Z92" s="70">
        <f t="shared" si="59"/>
        <v>235841.4705</v>
      </c>
      <c r="AA92" s="70">
        <f t="shared" si="60"/>
        <v>0</v>
      </c>
    </row>
    <row r="93" outlineLevel="1">
      <c r="A93" s="6" t="s">
        <v>324</v>
      </c>
      <c r="B93" s="70">
        <f>'Rep capacity'!$D$13*Inputs!$D$28*SUMPRODUCT((($B$2:$M$2-1)&lt;=12-B$2)*(((($B$2:$M$2-1)-Inputs!$D$30)&gt;=Inputs!$D$32)+((($B$2:$M$2-1)-Inputs!$D$30)&lt;Inputs!$D$32)*(((($B$2:$M$2-1)-Inputs!$D$30)/MAX(Inputs!$D$32,1)&gt;Inputs!$D$33)*(($B$2:$M$2-1)-Inputs!$D$30)/MAX(Inputs!$D$32,1)+((($B$2:$M$2-1)-Inputs!$D$30)/MAX(Inputs!$D$32,1)&lt;=Inputs!$D$33)*Inputs!$D$33))*((1-Inputs!$D$34)^(1/12))^($B$2:$M$2-1)*(1+(Inputs!$D$37-Inputs!$D$36-Inputs!$D$35)/12)^(12-B$2-($B$2:$M$2-1)))</f>
        <v>232295.8438</v>
      </c>
      <c r="C93" s="70">
        <f>'Rep capacity'!$D$13*Inputs!$D$28*SUMPRODUCT((($B$2:$M$2-1)&lt;=12-C$2)*(((($B$2:$M$2-1)-Inputs!$D$30)&gt;=Inputs!$D$32)+((($B$2:$M$2-1)-Inputs!$D$30)&lt;Inputs!$D$32)*(((($B$2:$M$2-1)-Inputs!$D$30)/MAX(Inputs!$D$32,1)&gt;Inputs!$D$33)*(($B$2:$M$2-1)-Inputs!$D$30)/MAX(Inputs!$D$32,1)+((($B$2:$M$2-1)-Inputs!$D$30)/MAX(Inputs!$D$32,1)&lt;=Inputs!$D$33)*Inputs!$D$33))*((1-Inputs!$D$34)^(1/12))^($B$2:$M$2-1)*(1+(Inputs!$D$37-Inputs!$D$36-Inputs!$D$35)/12)^(12-C$2-($B$2:$M$2-1)))</f>
        <v>166842.3771</v>
      </c>
      <c r="D93" s="70">
        <f>'Rep capacity'!$D$13*Inputs!$D$28*SUMPRODUCT((($B$2:$M$2-1)&lt;=12-D$2)*(((($B$2:$M$2-1)-Inputs!$D$30)&gt;=Inputs!$D$32)+((($B$2:$M$2-1)-Inputs!$D$30)&lt;Inputs!$D$32)*(((($B$2:$M$2-1)-Inputs!$D$30)/MAX(Inputs!$D$32,1)&gt;Inputs!$D$33)*(($B$2:$M$2-1)-Inputs!$D$30)/MAX(Inputs!$D$32,1)+((($B$2:$M$2-1)-Inputs!$D$30)/MAX(Inputs!$D$32,1)&lt;=Inputs!$D$33)*Inputs!$D$33))*((1-Inputs!$D$34)^(1/12))^($B$2:$M$2-1)*(1+(Inputs!$D$37-Inputs!$D$36-Inputs!$D$35)/12)^(12-D$2-($B$2:$M$2-1)))</f>
        <v>100837.8258</v>
      </c>
      <c r="E93" s="70">
        <f>'Rep capacity'!$D$13*Inputs!$D$28*SUMPRODUCT((($B$2:$M$2-1)&lt;=12-E$2)*(((($B$2:$M$2-1)-Inputs!$D$30)&gt;=Inputs!$D$32)+((($B$2:$M$2-1)-Inputs!$D$30)&lt;Inputs!$D$32)*(((($B$2:$M$2-1)-Inputs!$D$30)/MAX(Inputs!$D$32,1)&gt;Inputs!$D$33)*(($B$2:$M$2-1)-Inputs!$D$30)/MAX(Inputs!$D$32,1)+((($B$2:$M$2-1)-Inputs!$D$30)/MAX(Inputs!$D$32,1)&lt;=Inputs!$D$33)*Inputs!$D$33))*((1-Inputs!$D$34)^(1/12))^($B$2:$M$2-1)*(1+(Inputs!$D$37-Inputs!$D$36-Inputs!$D$35)/12)^(12-E$2-($B$2:$M$2-1)))</f>
        <v>50788.76909</v>
      </c>
      <c r="F93" s="70">
        <f>'Rep capacity'!$D$13*Inputs!$D$28*SUMPRODUCT((($B$2:$M$2-1)&lt;=12-F$2)*(((($B$2:$M$2-1)-Inputs!$D$30)&gt;=Inputs!$D$32)+((($B$2:$M$2-1)-Inputs!$D$30)&lt;Inputs!$D$32)*(((($B$2:$M$2-1)-Inputs!$D$30)/MAX(Inputs!$D$32,1)&gt;Inputs!$D$33)*(($B$2:$M$2-1)-Inputs!$D$30)/MAX(Inputs!$D$32,1)+((($B$2:$M$2-1)-Inputs!$D$30)/MAX(Inputs!$D$32,1)&lt;=Inputs!$D$33)*Inputs!$D$33))*((1-Inputs!$D$34)^(1/12))^($B$2:$M$2-1)*(1+(Inputs!$D$37-Inputs!$D$36-Inputs!$D$35)/12)^(12-F$2-($B$2:$M$2-1)))</f>
        <v>17054.10681</v>
      </c>
      <c r="G93" s="70">
        <f>'Rep capacity'!$D$13*Inputs!$D$28*SUMPRODUCT((($B$2:$M$2-1)&lt;=12-G$2)*(((($B$2:$M$2-1)-Inputs!$D$30)&gt;=Inputs!$D$32)+((($B$2:$M$2-1)-Inputs!$D$30)&lt;Inputs!$D$32)*(((($B$2:$M$2-1)-Inputs!$D$30)/MAX(Inputs!$D$32,1)&gt;Inputs!$D$33)*(($B$2:$M$2-1)-Inputs!$D$30)/MAX(Inputs!$D$32,1)+((($B$2:$M$2-1)-Inputs!$D$30)/MAX(Inputs!$D$32,1)&lt;=Inputs!$D$33)*Inputs!$D$33))*((1-Inputs!$D$34)^(1/12))^($B$2:$M$2-1)*(1+(Inputs!$D$37-Inputs!$D$36-Inputs!$D$35)/12)^(12-G$2-($B$2:$M$2-1)))</f>
        <v>0</v>
      </c>
      <c r="H93" s="70">
        <f>'Rep capacity'!$D$13*Inputs!$D$28*SUMPRODUCT((($B$2:$M$2-1)&lt;=12-H$2)*(((($B$2:$M$2-1)-Inputs!$D$30)&gt;=Inputs!$D$32)+((($B$2:$M$2-1)-Inputs!$D$30)&lt;Inputs!$D$32)*(((($B$2:$M$2-1)-Inputs!$D$30)/MAX(Inputs!$D$32,1)&gt;Inputs!$D$33)*(($B$2:$M$2-1)-Inputs!$D$30)/MAX(Inputs!$D$32,1)+((($B$2:$M$2-1)-Inputs!$D$30)/MAX(Inputs!$D$32,1)&lt;=Inputs!$D$33)*Inputs!$D$33))*((1-Inputs!$D$34)^(1/12))^($B$2:$M$2-1)*(1+(Inputs!$D$37-Inputs!$D$36-Inputs!$D$35)/12)^(12-H$2-($B$2:$M$2-1)))</f>
        <v>0</v>
      </c>
      <c r="I93" s="70">
        <f>'Rep capacity'!$D$13*Inputs!$D$28*SUMPRODUCT((($B$2:$M$2-1)&lt;=12-I$2)*(((($B$2:$M$2-1)-Inputs!$D$30)&gt;=Inputs!$D$32)+((($B$2:$M$2-1)-Inputs!$D$30)&lt;Inputs!$D$32)*(((($B$2:$M$2-1)-Inputs!$D$30)/MAX(Inputs!$D$32,1)&gt;Inputs!$D$33)*(($B$2:$M$2-1)-Inputs!$D$30)/MAX(Inputs!$D$32,1)+((($B$2:$M$2-1)-Inputs!$D$30)/MAX(Inputs!$D$32,1)&lt;=Inputs!$D$33)*Inputs!$D$33))*((1-Inputs!$D$34)^(1/12))^($B$2:$M$2-1)*(1+(Inputs!$D$37-Inputs!$D$36-Inputs!$D$35)/12)^(12-I$2-($B$2:$M$2-1)))</f>
        <v>0</v>
      </c>
      <c r="J93" s="70">
        <f>'Rep capacity'!$D$13*Inputs!$D$28*SUMPRODUCT((($B$2:$M$2-1)&lt;=12-J$2)*(((($B$2:$M$2-1)-Inputs!$D$30)&gt;=Inputs!$D$32)+((($B$2:$M$2-1)-Inputs!$D$30)&lt;Inputs!$D$32)*(((($B$2:$M$2-1)-Inputs!$D$30)/MAX(Inputs!$D$32,1)&gt;Inputs!$D$33)*(($B$2:$M$2-1)-Inputs!$D$30)/MAX(Inputs!$D$32,1)+((($B$2:$M$2-1)-Inputs!$D$30)/MAX(Inputs!$D$32,1)&lt;=Inputs!$D$33)*Inputs!$D$33))*((1-Inputs!$D$34)^(1/12))^($B$2:$M$2-1)*(1+(Inputs!$D$37-Inputs!$D$36-Inputs!$D$35)/12)^(12-J$2-($B$2:$M$2-1)))</f>
        <v>0</v>
      </c>
      <c r="K93" s="70">
        <f>'Rep capacity'!$D$13*Inputs!$D$28*SUMPRODUCT((($B$2:$M$2-1)&lt;=12-K$2)*(((($B$2:$M$2-1)-Inputs!$D$30)&gt;=Inputs!$D$32)+((($B$2:$M$2-1)-Inputs!$D$30)&lt;Inputs!$D$32)*(((($B$2:$M$2-1)-Inputs!$D$30)/MAX(Inputs!$D$32,1)&gt;Inputs!$D$33)*(($B$2:$M$2-1)-Inputs!$D$30)/MAX(Inputs!$D$32,1)+((($B$2:$M$2-1)-Inputs!$D$30)/MAX(Inputs!$D$32,1)&lt;=Inputs!$D$33)*Inputs!$D$33))*((1-Inputs!$D$34)^(1/12))^($B$2:$M$2-1)*(1+(Inputs!$D$37-Inputs!$D$36-Inputs!$D$35)/12)^(12-K$2-($B$2:$M$2-1)))</f>
        <v>0</v>
      </c>
      <c r="L93" s="70">
        <f>'Rep capacity'!$D$13*Inputs!$D$28*SUMPRODUCT((($B$2:$M$2-1)&lt;=12-L$2)*(((($B$2:$M$2-1)-Inputs!$D$30)&gt;=Inputs!$D$32)+((($B$2:$M$2-1)-Inputs!$D$30)&lt;Inputs!$D$32)*(((($B$2:$M$2-1)-Inputs!$D$30)/MAX(Inputs!$D$32,1)&gt;Inputs!$D$33)*(($B$2:$M$2-1)-Inputs!$D$30)/MAX(Inputs!$D$32,1)+((($B$2:$M$2-1)-Inputs!$D$30)/MAX(Inputs!$D$32,1)&lt;=Inputs!$D$33)*Inputs!$D$33))*((1-Inputs!$D$34)^(1/12))^($B$2:$M$2-1)*(1+(Inputs!$D$37-Inputs!$D$36-Inputs!$D$35)/12)^(12-L$2-($B$2:$M$2-1)))</f>
        <v>0</v>
      </c>
      <c r="M93" s="70">
        <f>'Rep capacity'!$D$13*Inputs!$D$28*SUMPRODUCT((($B$2:$M$2-1)&lt;=12-M$2)*(((($B$2:$M$2-1)-Inputs!$D$30)&gt;=Inputs!$D$32)+((($B$2:$M$2-1)-Inputs!$D$30)&lt;Inputs!$D$32)*(((($B$2:$M$2-1)-Inputs!$D$30)/MAX(Inputs!$D$32,1)&gt;Inputs!$D$33)*(($B$2:$M$2-1)-Inputs!$D$30)/MAX(Inputs!$D$32,1)+((($B$2:$M$2-1)-Inputs!$D$30)/MAX(Inputs!$D$32,1)&lt;=Inputs!$D$33)*Inputs!$D$33))*((1-Inputs!$D$34)^(1/12))^($B$2:$M$2-1)*(1+(Inputs!$D$37-Inputs!$D$36-Inputs!$D$35)/12)^(12-M$2-($B$2:$M$2-1)))</f>
        <v>0</v>
      </c>
      <c r="N93" s="70">
        <f>'Rep capacity'!$D$13*Inputs!$D$28*SUMPRODUCT((($B$2:$M$2-1)&lt;=24-N$2)*(((($B$2:$M$2-1)-Inputs!$D$30)&gt;=Inputs!$D$32)+((($B$2:$M$2-1)-Inputs!$D$30)&lt;Inputs!$D$32)*(((($B$2:$M$2-1)-Inputs!$D$30)/MAX(Inputs!$D$32,1)&gt;Inputs!$D$33)*(($B$2:$M$2-1)-Inputs!$D$30)/MAX(Inputs!$D$32,1)+((($B$2:$M$2-1)-Inputs!$D$30)/MAX(Inputs!$D$32,1)&lt;=Inputs!$D$33)*Inputs!$D$33))*((1-Inputs!$D$34)^(1/12))^($B$2:$M$2-1)*(1+(Inputs!$D$37-Inputs!$D$36-Inputs!$D$35)/12)^(24-N$2-($B$2:$M$2-1)))</f>
        <v>232295.8438</v>
      </c>
      <c r="O93" s="70">
        <f>'Rep capacity'!$D$13*Inputs!$D$28*SUMPRODUCT((($B$2:$M$2-1)&lt;=24-O$2)*(((($B$2:$M$2-1)-Inputs!$D$30)&gt;=Inputs!$D$32)+((($B$2:$M$2-1)-Inputs!$D$30)&lt;Inputs!$D$32)*(((($B$2:$M$2-1)-Inputs!$D$30)/MAX(Inputs!$D$32,1)&gt;Inputs!$D$33)*(($B$2:$M$2-1)-Inputs!$D$30)/MAX(Inputs!$D$32,1)+((($B$2:$M$2-1)-Inputs!$D$30)/MAX(Inputs!$D$32,1)&lt;=Inputs!$D$33)*Inputs!$D$33))*((1-Inputs!$D$34)^(1/12))^($B$2:$M$2-1)*(1+(Inputs!$D$37-Inputs!$D$36-Inputs!$D$35)/12)^(24-O$2-($B$2:$M$2-1)))</f>
        <v>166842.3771</v>
      </c>
      <c r="P93" s="70">
        <f>'Rep capacity'!$D$13*Inputs!$D$28*SUMPRODUCT((($B$2:$M$2-1)&lt;=24-P$2)*(((($B$2:$M$2-1)-Inputs!$D$30)&gt;=Inputs!$D$32)+((($B$2:$M$2-1)-Inputs!$D$30)&lt;Inputs!$D$32)*(((($B$2:$M$2-1)-Inputs!$D$30)/MAX(Inputs!$D$32,1)&gt;Inputs!$D$33)*(($B$2:$M$2-1)-Inputs!$D$30)/MAX(Inputs!$D$32,1)+((($B$2:$M$2-1)-Inputs!$D$30)/MAX(Inputs!$D$32,1)&lt;=Inputs!$D$33)*Inputs!$D$33))*((1-Inputs!$D$34)^(1/12))^($B$2:$M$2-1)*(1+(Inputs!$D$37-Inputs!$D$36-Inputs!$D$35)/12)^(24-P$2-($B$2:$M$2-1)))</f>
        <v>100837.8258</v>
      </c>
      <c r="Q93" s="70">
        <f>'Rep capacity'!$D$13*Inputs!$D$28*SUMPRODUCT((($B$2:$M$2-1)&lt;=24-Q$2)*(((($B$2:$M$2-1)-Inputs!$D$30)&gt;=Inputs!$D$32)+((($B$2:$M$2-1)-Inputs!$D$30)&lt;Inputs!$D$32)*(((($B$2:$M$2-1)-Inputs!$D$30)/MAX(Inputs!$D$32,1)&gt;Inputs!$D$33)*(($B$2:$M$2-1)-Inputs!$D$30)/MAX(Inputs!$D$32,1)+((($B$2:$M$2-1)-Inputs!$D$30)/MAX(Inputs!$D$32,1)&lt;=Inputs!$D$33)*Inputs!$D$33))*((1-Inputs!$D$34)^(1/12))^($B$2:$M$2-1)*(1+(Inputs!$D$37-Inputs!$D$36-Inputs!$D$35)/12)^(24-Q$2-($B$2:$M$2-1)))</f>
        <v>50788.76909</v>
      </c>
      <c r="R93" s="70">
        <f>'Rep capacity'!$D$13*Inputs!$D$28*SUMPRODUCT((($B$2:$M$2-1)&lt;=24-R$2)*(((($B$2:$M$2-1)-Inputs!$D$30)&gt;=Inputs!$D$32)+((($B$2:$M$2-1)-Inputs!$D$30)&lt;Inputs!$D$32)*(((($B$2:$M$2-1)-Inputs!$D$30)/MAX(Inputs!$D$32,1)&gt;Inputs!$D$33)*(($B$2:$M$2-1)-Inputs!$D$30)/MAX(Inputs!$D$32,1)+((($B$2:$M$2-1)-Inputs!$D$30)/MAX(Inputs!$D$32,1)&lt;=Inputs!$D$33)*Inputs!$D$33))*((1-Inputs!$D$34)^(1/12))^($B$2:$M$2-1)*(1+(Inputs!$D$37-Inputs!$D$36-Inputs!$D$35)/12)^(24-R$2-($B$2:$M$2-1)))</f>
        <v>17054.10681</v>
      </c>
      <c r="S93" s="70">
        <f>'Rep capacity'!$D$13*Inputs!$D$28*SUMPRODUCT((($B$2:$M$2-1)&lt;=24-S$2)*(((($B$2:$M$2-1)-Inputs!$D$30)&gt;=Inputs!$D$32)+((($B$2:$M$2-1)-Inputs!$D$30)&lt;Inputs!$D$32)*(((($B$2:$M$2-1)-Inputs!$D$30)/MAX(Inputs!$D$32,1)&gt;Inputs!$D$33)*(($B$2:$M$2-1)-Inputs!$D$30)/MAX(Inputs!$D$32,1)+((($B$2:$M$2-1)-Inputs!$D$30)/MAX(Inputs!$D$32,1)&lt;=Inputs!$D$33)*Inputs!$D$33))*((1-Inputs!$D$34)^(1/12))^($B$2:$M$2-1)*(1+(Inputs!$D$37-Inputs!$D$36-Inputs!$D$35)/12)^(24-S$2-($B$2:$M$2-1)))</f>
        <v>0</v>
      </c>
      <c r="T93" s="70">
        <f>'Rep capacity'!$D$13*Inputs!$D$28*SUMPRODUCT((($B$2:$M$2-1)&lt;=24-T$2)*(((($B$2:$M$2-1)-Inputs!$D$30)&gt;=Inputs!$D$32)+((($B$2:$M$2-1)-Inputs!$D$30)&lt;Inputs!$D$32)*(((($B$2:$M$2-1)-Inputs!$D$30)/MAX(Inputs!$D$32,1)&gt;Inputs!$D$33)*(($B$2:$M$2-1)-Inputs!$D$30)/MAX(Inputs!$D$32,1)+((($B$2:$M$2-1)-Inputs!$D$30)/MAX(Inputs!$D$32,1)&lt;=Inputs!$D$33)*Inputs!$D$33))*((1-Inputs!$D$34)^(1/12))^($B$2:$M$2-1)*(1+(Inputs!$D$37-Inputs!$D$36-Inputs!$D$35)/12)^(24-T$2-($B$2:$M$2-1)))</f>
        <v>0</v>
      </c>
      <c r="U93" s="70">
        <f>'Rep capacity'!$D$13*Inputs!$D$28*SUMPRODUCT((($B$2:$M$2-1)&lt;=24-U$2)*(((($B$2:$M$2-1)-Inputs!$D$30)&gt;=Inputs!$D$32)+((($B$2:$M$2-1)-Inputs!$D$30)&lt;Inputs!$D$32)*(((($B$2:$M$2-1)-Inputs!$D$30)/MAX(Inputs!$D$32,1)&gt;Inputs!$D$33)*(($B$2:$M$2-1)-Inputs!$D$30)/MAX(Inputs!$D$32,1)+((($B$2:$M$2-1)-Inputs!$D$30)/MAX(Inputs!$D$32,1)&lt;=Inputs!$D$33)*Inputs!$D$33))*((1-Inputs!$D$34)^(1/12))^($B$2:$M$2-1)*(1+(Inputs!$D$37-Inputs!$D$36-Inputs!$D$35)/12)^(24-U$2-($B$2:$M$2-1)))</f>
        <v>0</v>
      </c>
      <c r="V93" s="70">
        <f>'Rep capacity'!$D$13*Inputs!$D$28*SUMPRODUCT((($B$2:$M$2-1)&lt;=24-V$2)*(((($B$2:$M$2-1)-Inputs!$D$30)&gt;=Inputs!$D$32)+((($B$2:$M$2-1)-Inputs!$D$30)&lt;Inputs!$D$32)*(((($B$2:$M$2-1)-Inputs!$D$30)/MAX(Inputs!$D$32,1)&gt;Inputs!$D$33)*(($B$2:$M$2-1)-Inputs!$D$30)/MAX(Inputs!$D$32,1)+((($B$2:$M$2-1)-Inputs!$D$30)/MAX(Inputs!$D$32,1)&lt;=Inputs!$D$33)*Inputs!$D$33))*((1-Inputs!$D$34)^(1/12))^($B$2:$M$2-1)*(1+(Inputs!$D$37-Inputs!$D$36-Inputs!$D$35)/12)^(24-V$2-($B$2:$M$2-1)))</f>
        <v>0</v>
      </c>
      <c r="W93" s="70">
        <f>'Rep capacity'!$D$13*Inputs!$D$28*SUMPRODUCT((($B$2:$M$2-1)&lt;=24-W$2)*(((($B$2:$M$2-1)-Inputs!$D$30)&gt;=Inputs!$D$32)+((($B$2:$M$2-1)-Inputs!$D$30)&lt;Inputs!$D$32)*(((($B$2:$M$2-1)-Inputs!$D$30)/MAX(Inputs!$D$32,1)&gt;Inputs!$D$33)*(($B$2:$M$2-1)-Inputs!$D$30)/MAX(Inputs!$D$32,1)+((($B$2:$M$2-1)-Inputs!$D$30)/MAX(Inputs!$D$32,1)&lt;=Inputs!$D$33)*Inputs!$D$33))*((1-Inputs!$D$34)^(1/12))^($B$2:$M$2-1)*(1+(Inputs!$D$37-Inputs!$D$36-Inputs!$D$35)/12)^(24-W$2-($B$2:$M$2-1)))</f>
        <v>0</v>
      </c>
      <c r="X93" s="70">
        <f>'Rep capacity'!$D$13*Inputs!$D$28*SUMPRODUCT((($B$2:$M$2-1)&lt;=24-X$2)*(((($B$2:$M$2-1)-Inputs!$D$30)&gt;=Inputs!$D$32)+((($B$2:$M$2-1)-Inputs!$D$30)&lt;Inputs!$D$32)*(((($B$2:$M$2-1)-Inputs!$D$30)/MAX(Inputs!$D$32,1)&gt;Inputs!$D$33)*(($B$2:$M$2-1)-Inputs!$D$30)/MAX(Inputs!$D$32,1)+((($B$2:$M$2-1)-Inputs!$D$30)/MAX(Inputs!$D$32,1)&lt;=Inputs!$D$33)*Inputs!$D$33))*((1-Inputs!$D$34)^(1/12))^($B$2:$M$2-1)*(1+(Inputs!$D$37-Inputs!$D$36-Inputs!$D$35)/12)^(24-X$2-($B$2:$M$2-1)))</f>
        <v>0</v>
      </c>
      <c r="Y93" s="70">
        <f>'Rep capacity'!$D$13*Inputs!$D$28*SUMPRODUCT((($B$2:$M$2-1)&lt;=24-Y$2)*(((($B$2:$M$2-1)-Inputs!$D$30)&gt;=Inputs!$D$32)+((($B$2:$M$2-1)-Inputs!$D$30)&lt;Inputs!$D$32)*(((($B$2:$M$2-1)-Inputs!$D$30)/MAX(Inputs!$D$32,1)&gt;Inputs!$D$33)*(($B$2:$M$2-1)-Inputs!$D$30)/MAX(Inputs!$D$32,1)+((($B$2:$M$2-1)-Inputs!$D$30)/MAX(Inputs!$D$32,1)&lt;=Inputs!$D$33)*Inputs!$D$33))*((1-Inputs!$D$34)^(1/12))^($B$2:$M$2-1)*(1+(Inputs!$D$37-Inputs!$D$36-Inputs!$D$35)/12)^(24-Y$2-($B$2:$M$2-1)))</f>
        <v>0</v>
      </c>
      <c r="Z93" s="70"/>
      <c r="AA93" s="70"/>
    </row>
    <row r="94" outlineLevel="1">
      <c r="A94" s="6" t="s">
        <v>325</v>
      </c>
      <c r="B94" s="74">
        <v>0.0</v>
      </c>
      <c r="C94" s="70">
        <f t="shared" ref="C94:M94" si="61">SUMPRODUCT($B95:B95,$B93:B93)</f>
        <v>464591.6876</v>
      </c>
      <c r="D94" s="70">
        <f t="shared" si="61"/>
        <v>464591.6876</v>
      </c>
      <c r="E94" s="70">
        <f t="shared" si="61"/>
        <v>464591.6876</v>
      </c>
      <c r="F94" s="70">
        <f t="shared" si="61"/>
        <v>464591.6876</v>
      </c>
      <c r="G94" s="70">
        <f t="shared" si="61"/>
        <v>464591.6876</v>
      </c>
      <c r="H94" s="70">
        <f t="shared" si="61"/>
        <v>464591.6876</v>
      </c>
      <c r="I94" s="70">
        <f t="shared" si="61"/>
        <v>464591.6876</v>
      </c>
      <c r="J94" s="70">
        <f t="shared" si="61"/>
        <v>464591.6876</v>
      </c>
      <c r="K94" s="70">
        <f t="shared" si="61"/>
        <v>464591.6876</v>
      </c>
      <c r="L94" s="70">
        <f t="shared" si="61"/>
        <v>464591.6876</v>
      </c>
      <c r="M94" s="70">
        <f t="shared" si="61"/>
        <v>464591.6876</v>
      </c>
      <c r="N94" s="74">
        <v>0.0</v>
      </c>
      <c r="O94" s="70">
        <f t="shared" ref="O94:Y94" si="62">SUMPRODUCT($N95:N95,$N93:N93)</f>
        <v>0</v>
      </c>
      <c r="P94" s="70">
        <f t="shared" si="62"/>
        <v>0</v>
      </c>
      <c r="Q94" s="70">
        <f t="shared" si="62"/>
        <v>0</v>
      </c>
      <c r="R94" s="70">
        <f t="shared" si="62"/>
        <v>0</v>
      </c>
      <c r="S94" s="70">
        <f t="shared" si="62"/>
        <v>0</v>
      </c>
      <c r="T94" s="70">
        <f t="shared" si="62"/>
        <v>0</v>
      </c>
      <c r="U94" s="70">
        <f t="shared" si="62"/>
        <v>0</v>
      </c>
      <c r="V94" s="70">
        <f t="shared" si="62"/>
        <v>0</v>
      </c>
      <c r="W94" s="70">
        <f t="shared" si="62"/>
        <v>0</v>
      </c>
      <c r="X94" s="70">
        <f t="shared" si="62"/>
        <v>0</v>
      </c>
      <c r="Y94" s="70">
        <f t="shared" si="62"/>
        <v>0</v>
      </c>
      <c r="Z94" s="70">
        <f>SUMPRODUCT(B95:M95,B93:M93)</f>
        <v>464591.6876</v>
      </c>
      <c r="AA94" s="70">
        <f>SUMPRODUCT(N95:Y95,N93:Y93)</f>
        <v>0</v>
      </c>
    </row>
    <row r="95" outlineLevel="1">
      <c r="A95" s="12" t="s">
        <v>326</v>
      </c>
      <c r="B95" s="72">
        <f>IF(OR(B$2&lt;Inputs!$B$16,MOD(B$2-Inputs!$B$16,MAX(1,Inputs!$B$15))&lt;&gt;0),0,IF(B93&lt;=0,0,MAX(0,MIN(Inputs!$D$14,ROUNDUP(MAX(0,ROUND(B92-B94,0))/B93,0)))))</f>
        <v>2</v>
      </c>
      <c r="C95" s="72">
        <f>IF(OR(C$2&lt;Inputs!$B$16,MOD(C$2-Inputs!$B$16,MAX(1,Inputs!$B$15))&lt;&gt;0),0,IF(C93&lt;=0,0,MAX(0,MIN(Inputs!$D$14,ROUNDUP(MAX(0,ROUND(C92-C94,0))/C93,0)))))</f>
        <v>0</v>
      </c>
      <c r="D95" s="72">
        <f>IF(OR(D$2&lt;Inputs!$B$16,MOD(D$2-Inputs!$B$16,MAX(1,Inputs!$B$15))&lt;&gt;0),0,IF(D93&lt;=0,0,MAX(0,MIN(Inputs!$D$14,ROUNDUP(MAX(0,ROUND(D92-D94,0))/D93,0)))))</f>
        <v>0</v>
      </c>
      <c r="E95" s="72">
        <f>IF(OR(E$2&lt;Inputs!$B$16,MOD(E$2-Inputs!$B$16,MAX(1,Inputs!$B$15))&lt;&gt;0),0,IF(E93&lt;=0,0,MAX(0,MIN(Inputs!$D$14,ROUNDUP(MAX(0,ROUND(E92-E94,0))/E93,0)))))</f>
        <v>0</v>
      </c>
      <c r="F95" s="72">
        <f>IF(OR(F$2&lt;Inputs!$B$16,MOD(F$2-Inputs!$B$16,MAX(1,Inputs!$B$15))&lt;&gt;0),0,IF(F93&lt;=0,0,MAX(0,MIN(Inputs!$D$14,ROUNDUP(MAX(0,ROUND(F92-F94,0))/F93,0)))))</f>
        <v>0</v>
      </c>
      <c r="G95" s="72">
        <f>IF(OR(G$2&lt;Inputs!$B$16,MOD(G$2-Inputs!$B$16,MAX(1,Inputs!$B$15))&lt;&gt;0),0,IF(G93&lt;=0,0,MAX(0,MIN(Inputs!$D$14,ROUNDUP(MAX(0,ROUND(G92-G94,0))/G93,0)))))</f>
        <v>0</v>
      </c>
      <c r="H95" s="72">
        <f>IF(OR(H$2&lt;Inputs!$B$16,MOD(H$2-Inputs!$B$16,MAX(1,Inputs!$B$15))&lt;&gt;0),0,IF(H93&lt;=0,0,MAX(0,MIN(Inputs!$D$14,ROUNDUP(MAX(0,ROUND(H92-H94,0))/H93,0)))))</f>
        <v>0</v>
      </c>
      <c r="I95" s="72">
        <f>IF(OR(I$2&lt;Inputs!$B$16,MOD(I$2-Inputs!$B$16,MAX(1,Inputs!$B$15))&lt;&gt;0),0,IF(I93&lt;=0,0,MAX(0,MIN(Inputs!$D$14,ROUNDUP(MAX(0,ROUND(I92-I94,0))/I93,0)))))</f>
        <v>0</v>
      </c>
      <c r="J95" s="72">
        <f>IF(OR(J$2&lt;Inputs!$B$16,MOD(J$2-Inputs!$B$16,MAX(1,Inputs!$B$15))&lt;&gt;0),0,IF(J93&lt;=0,0,MAX(0,MIN(Inputs!$D$14,ROUNDUP(MAX(0,ROUND(J92-J94,0))/J93,0)))))</f>
        <v>0</v>
      </c>
      <c r="K95" s="72">
        <f>IF(OR(K$2&lt;Inputs!$B$16,MOD(K$2-Inputs!$B$16,MAX(1,Inputs!$B$15))&lt;&gt;0),0,IF(K93&lt;=0,0,MAX(0,MIN(Inputs!$D$14,ROUNDUP(MAX(0,ROUND(K92-K94,0))/K93,0)))))</f>
        <v>0</v>
      </c>
      <c r="L95" s="72">
        <f>IF(OR(L$2&lt;Inputs!$B$16,MOD(L$2-Inputs!$B$16,MAX(1,Inputs!$B$15))&lt;&gt;0),0,IF(L93&lt;=0,0,MAX(0,MIN(Inputs!$D$14,ROUNDUP(MAX(0,ROUND(L92-L94,0))/L93,0)))))</f>
        <v>0</v>
      </c>
      <c r="M95" s="72">
        <f>IF(OR(M$2&lt;Inputs!$B$16,MOD(M$2-Inputs!$B$16,MAX(1,Inputs!$B$15))&lt;&gt;0),0,IF(M93&lt;=0,0,MAX(0,MIN(Inputs!$D$14,ROUNDUP(MAX(0,ROUND(M92-M94,0))/M93,0)))))</f>
        <v>0</v>
      </c>
      <c r="N95" s="72">
        <f>IF(OR(N$2&lt;Inputs!$B$16,MOD(N$2-Inputs!$B$16,MAX(1,Inputs!$B$15))&lt;&gt;0),0,IF(N93&lt;=0,0,MAX(0,MIN(Inputs!$D$14,ROUNDUP(MAX(0,ROUND(N92-N94,0))/N93,0)))))</f>
        <v>0</v>
      </c>
      <c r="O95" s="72">
        <f>IF(OR(O$2&lt;Inputs!$B$16,MOD(O$2-Inputs!$B$16,MAX(1,Inputs!$B$15))&lt;&gt;0),0,IF(O93&lt;=0,0,MAX(0,MIN(Inputs!$D$14,ROUNDUP(MAX(0,ROUND(O92-O94,0))/O93,0)))))</f>
        <v>0</v>
      </c>
      <c r="P95" s="72">
        <f>IF(OR(P$2&lt;Inputs!$B$16,MOD(P$2-Inputs!$B$16,MAX(1,Inputs!$B$15))&lt;&gt;0),0,IF(P93&lt;=0,0,MAX(0,MIN(Inputs!$D$14,ROUNDUP(MAX(0,ROUND(P92-P94,0))/P93,0)))))</f>
        <v>0</v>
      </c>
      <c r="Q95" s="72">
        <f>IF(OR(Q$2&lt;Inputs!$B$16,MOD(Q$2-Inputs!$B$16,MAX(1,Inputs!$B$15))&lt;&gt;0),0,IF(Q93&lt;=0,0,MAX(0,MIN(Inputs!$D$14,ROUNDUP(MAX(0,ROUND(Q92-Q94,0))/Q93,0)))))</f>
        <v>0</v>
      </c>
      <c r="R95" s="72">
        <f>IF(OR(R$2&lt;Inputs!$B$16,MOD(R$2-Inputs!$B$16,MAX(1,Inputs!$B$15))&lt;&gt;0),0,IF(R93&lt;=0,0,MAX(0,MIN(Inputs!$D$14,ROUNDUP(MAX(0,ROUND(R92-R94,0))/R93,0)))))</f>
        <v>0</v>
      </c>
      <c r="S95" s="72">
        <f>IF(OR(S$2&lt;Inputs!$B$16,MOD(S$2-Inputs!$B$16,MAX(1,Inputs!$B$15))&lt;&gt;0),0,IF(S93&lt;=0,0,MAX(0,MIN(Inputs!$D$14,ROUNDUP(MAX(0,ROUND(S92-S94,0))/S93,0)))))</f>
        <v>0</v>
      </c>
      <c r="T95" s="72">
        <f>IF(OR(T$2&lt;Inputs!$B$16,MOD(T$2-Inputs!$B$16,MAX(1,Inputs!$B$15))&lt;&gt;0),0,IF(T93&lt;=0,0,MAX(0,MIN(Inputs!$D$14,ROUNDUP(MAX(0,ROUND(T92-T94,0))/T93,0)))))</f>
        <v>0</v>
      </c>
      <c r="U95" s="72">
        <f>IF(OR(U$2&lt;Inputs!$B$16,MOD(U$2-Inputs!$B$16,MAX(1,Inputs!$B$15))&lt;&gt;0),0,IF(U93&lt;=0,0,MAX(0,MIN(Inputs!$D$14,ROUNDUP(MAX(0,ROUND(U92-U94,0))/U93,0)))))</f>
        <v>0</v>
      </c>
      <c r="V95" s="72">
        <f>IF(OR(V$2&lt;Inputs!$B$16,MOD(V$2-Inputs!$B$16,MAX(1,Inputs!$B$15))&lt;&gt;0),0,IF(V93&lt;=0,0,MAX(0,MIN(Inputs!$D$14,ROUNDUP(MAX(0,ROUND(V92-V94,0))/V93,0)))))</f>
        <v>0</v>
      </c>
      <c r="W95" s="72">
        <f>IF(OR(W$2&lt;Inputs!$B$16,MOD(W$2-Inputs!$B$16,MAX(1,Inputs!$B$15))&lt;&gt;0),0,IF(W93&lt;=0,0,MAX(0,MIN(Inputs!$D$14,ROUNDUP(MAX(0,ROUND(W92-W94,0))/W93,0)))))</f>
        <v>0</v>
      </c>
      <c r="X95" s="72">
        <f>IF(OR(X$2&lt;Inputs!$B$16,MOD(X$2-Inputs!$B$16,MAX(1,Inputs!$B$15))&lt;&gt;0),0,IF(X93&lt;=0,0,MAX(0,MIN(Inputs!$D$14,ROUNDUP(MAX(0,ROUND(X92-X94,0))/X93,0)))))</f>
        <v>0</v>
      </c>
      <c r="Y95" s="72">
        <f>IF(OR(Y$2&lt;Inputs!$B$16,MOD(Y$2-Inputs!$B$16,MAX(1,Inputs!$B$15))&lt;&gt;0),0,IF(Y93&lt;=0,0,MAX(0,MIN(Inputs!$D$14,ROUNDUP(MAX(0,ROUND(Y92-Y94,0))/Y93,0)))))</f>
        <v>0</v>
      </c>
      <c r="Z95" s="72">
        <f t="shared" ref="Z95:Z96" si="63">SUM(B95:M95)</f>
        <v>2</v>
      </c>
      <c r="AA95" s="72">
        <f t="shared" ref="AA95:AA96" si="64">SUM(N95:Y95)</f>
        <v>0</v>
      </c>
    </row>
    <row r="96" outlineLevel="1">
      <c r="A96" s="6" t="s">
        <v>327</v>
      </c>
      <c r="B96" s="73">
        <f>Inputs!J$69</f>
        <v>2</v>
      </c>
      <c r="C96" s="73">
        <f>Inputs!K$69</f>
        <v>0</v>
      </c>
      <c r="D96" s="73">
        <f>Inputs!L$69</f>
        <v>0</v>
      </c>
      <c r="E96" s="73">
        <f>Inputs!M$69</f>
        <v>0</v>
      </c>
      <c r="F96" s="73">
        <f>Inputs!N$69</f>
        <v>0</v>
      </c>
      <c r="G96" s="73">
        <f>Inputs!O$69</f>
        <v>0</v>
      </c>
      <c r="H96" s="73">
        <f>Inputs!P$69</f>
        <v>0</v>
      </c>
      <c r="I96" s="73">
        <f>Inputs!Q$69</f>
        <v>0</v>
      </c>
      <c r="J96" s="73">
        <f>Inputs!R$69</f>
        <v>0</v>
      </c>
      <c r="K96" s="73">
        <f>Inputs!S$69</f>
        <v>0</v>
      </c>
      <c r="L96" s="73">
        <f>Inputs!T$69</f>
        <v>0</v>
      </c>
      <c r="M96" s="73">
        <f>Inputs!U$69</f>
        <v>0</v>
      </c>
      <c r="N96" s="73">
        <f>Inputs!V$69</f>
        <v>0</v>
      </c>
      <c r="O96" s="73">
        <f>Inputs!W$69</f>
        <v>0</v>
      </c>
      <c r="P96" s="73">
        <f>Inputs!X$69</f>
        <v>0</v>
      </c>
      <c r="Q96" s="73">
        <f>Inputs!Y$69</f>
        <v>0</v>
      </c>
      <c r="R96" s="73">
        <f>Inputs!Z$69</f>
        <v>0</v>
      </c>
      <c r="S96" s="73">
        <f>Inputs!AA$69</f>
        <v>0</v>
      </c>
      <c r="T96" s="73">
        <f>Inputs!AB$69</f>
        <v>0</v>
      </c>
      <c r="U96" s="73">
        <f>Inputs!AC$69</f>
        <v>0</v>
      </c>
      <c r="V96" s="73">
        <f>Inputs!AD$69</f>
        <v>0</v>
      </c>
      <c r="W96" s="73">
        <f>Inputs!AE$69</f>
        <v>0</v>
      </c>
      <c r="X96" s="73">
        <f>Inputs!AF$69</f>
        <v>0</v>
      </c>
      <c r="Y96" s="73">
        <f>Inputs!AG$69</f>
        <v>0</v>
      </c>
      <c r="Z96" s="73">
        <f t="shared" si="63"/>
        <v>2</v>
      </c>
      <c r="AA96" s="73">
        <f t="shared" si="64"/>
        <v>0</v>
      </c>
    </row>
    <row r="97" outlineLevel="1">
      <c r="A97" s="6" t="s">
        <v>328</v>
      </c>
      <c r="B97" s="70">
        <f t="shared" ref="B97:M97" si="65">SUMPRODUCT($B96:B96,$B93:B93)</f>
        <v>464591.6876</v>
      </c>
      <c r="C97" s="70">
        <f t="shared" si="65"/>
        <v>464591.6876</v>
      </c>
      <c r="D97" s="70">
        <f t="shared" si="65"/>
        <v>464591.6876</v>
      </c>
      <c r="E97" s="70">
        <f t="shared" si="65"/>
        <v>464591.6876</v>
      </c>
      <c r="F97" s="70">
        <f t="shared" si="65"/>
        <v>464591.6876</v>
      </c>
      <c r="G97" s="70">
        <f t="shared" si="65"/>
        <v>464591.6876</v>
      </c>
      <c r="H97" s="70">
        <f t="shared" si="65"/>
        <v>464591.6876</v>
      </c>
      <c r="I97" s="70">
        <f t="shared" si="65"/>
        <v>464591.6876</v>
      </c>
      <c r="J97" s="70">
        <f t="shared" si="65"/>
        <v>464591.6876</v>
      </c>
      <c r="K97" s="70">
        <f t="shared" si="65"/>
        <v>464591.6876</v>
      </c>
      <c r="L97" s="70">
        <f t="shared" si="65"/>
        <v>464591.6876</v>
      </c>
      <c r="M97" s="70">
        <f t="shared" si="65"/>
        <v>464591.6876</v>
      </c>
      <c r="N97" s="70">
        <f t="shared" ref="N97:Y97" si="66">SUMPRODUCT($N96:N96,$N93:N93)</f>
        <v>0</v>
      </c>
      <c r="O97" s="70">
        <f t="shared" si="66"/>
        <v>0</v>
      </c>
      <c r="P97" s="70">
        <f t="shared" si="66"/>
        <v>0</v>
      </c>
      <c r="Q97" s="70">
        <f t="shared" si="66"/>
        <v>0</v>
      </c>
      <c r="R97" s="70">
        <f t="shared" si="66"/>
        <v>0</v>
      </c>
      <c r="S97" s="70">
        <f t="shared" si="66"/>
        <v>0</v>
      </c>
      <c r="T97" s="70">
        <f t="shared" si="66"/>
        <v>0</v>
      </c>
      <c r="U97" s="70">
        <f t="shared" si="66"/>
        <v>0</v>
      </c>
      <c r="V97" s="70">
        <f t="shared" si="66"/>
        <v>0</v>
      </c>
      <c r="W97" s="70">
        <f t="shared" si="66"/>
        <v>0</v>
      </c>
      <c r="X97" s="70">
        <f t="shared" si="66"/>
        <v>0</v>
      </c>
      <c r="Y97" s="70">
        <f t="shared" si="66"/>
        <v>0</v>
      </c>
      <c r="Z97" s="70">
        <f>M97</f>
        <v>464591.6876</v>
      </c>
      <c r="AA97" s="70">
        <f>Y97</f>
        <v>0</v>
      </c>
    </row>
    <row r="98" outlineLevel="1">
      <c r="A98" s="3"/>
    </row>
    <row r="99">
      <c r="A99" s="4" t="s">
        <v>331</v>
      </c>
      <c r="B99" s="46"/>
      <c r="C99" s="46"/>
      <c r="D99" s="46"/>
      <c r="E99" s="46"/>
      <c r="F99" s="46"/>
      <c r="G99" s="46"/>
      <c r="H99" s="46"/>
      <c r="I99" s="46"/>
      <c r="J99" s="46"/>
      <c r="K99" s="46"/>
      <c r="L99" s="46"/>
      <c r="M99" s="46"/>
      <c r="N99" s="46"/>
      <c r="O99" s="46"/>
      <c r="P99" s="46"/>
      <c r="Q99" s="46"/>
      <c r="R99" s="46"/>
      <c r="S99" s="46"/>
      <c r="T99" s="46"/>
      <c r="U99" s="46"/>
      <c r="V99" s="46"/>
      <c r="W99" s="46"/>
      <c r="X99" s="46"/>
      <c r="Y99" s="46"/>
      <c r="Z99" s="46"/>
      <c r="AA99" s="46"/>
    </row>
    <row r="100">
      <c r="A100" s="6" t="s">
        <v>332</v>
      </c>
    </row>
    <row r="101">
      <c r="A101" s="6" t="s">
        <v>333</v>
      </c>
    </row>
    <row r="102">
      <c r="A102" s="6" t="s">
        <v>334</v>
      </c>
    </row>
    <row r="103">
      <c r="A103" s="6" t="s">
        <v>335</v>
      </c>
    </row>
    <row r="104">
      <c r="A104" s="6" t="s">
        <v>336</v>
      </c>
    </row>
    <row r="105">
      <c r="A105" s="6" t="s">
        <v>337</v>
      </c>
    </row>
    <row r="106">
      <c r="A106" s="6" t="s">
        <v>338</v>
      </c>
    </row>
    <row r="107">
      <c r="A107" s="6" t="s">
        <v>339</v>
      </c>
    </row>
    <row r="108">
      <c r="A108" s="6" t="s">
        <v>340</v>
      </c>
    </row>
    <row r="109">
      <c r="A109" s="6" t="s">
        <v>341</v>
      </c>
    </row>
  </sheetData>
  <conditionalFormatting sqref="B63:C63">
    <cfRule type="cellIs" dxfId="0" priority="1" stopIfTrue="1" operator="greaterThan">
      <formula>0</formula>
    </cfRule>
  </conditionalFormatting>
  <conditionalFormatting sqref="B60:C60">
    <cfRule type="cellIs" dxfId="0" priority="2" stopIfTrue="1" operator="lessThan">
      <formula>-0.5</formula>
    </cfRule>
  </conditionalFormatting>
  <conditionalFormatting sqref="B54:C54">
    <cfRule type="cellIs" dxfId="0" priority="3" stopIfTrue="1" operator="greaterThan">
      <formula>0</formula>
    </cfRule>
  </conditionalFormatting>
  <conditionalFormatting sqref="B52:C52">
    <cfRule type="cellIs" dxfId="0" priority="4" stopIfTrue="1" operator="greaterThan">
      <formula>0</formula>
    </cfRule>
  </conditionalFormatting>
  <conditionalFormatting sqref="B47:C47">
    <cfRule type="cellIs" dxfId="0" priority="5" stopIfTrue="1" operator="lessThan">
      <formula>-0.5</formula>
    </cfRule>
  </conditionalFormatting>
  <conditionalFormatting sqref="B44:C44">
    <cfRule type="cellIs" dxfId="0" priority="6" stopIfTrue="1" operator="lessThan">
      <formula>-0.5</formula>
    </cfRule>
  </conditionalFormatting>
  <conditionalFormatting sqref="B37:C37">
    <cfRule type="cellIs" dxfId="0" priority="7" stopIfTrue="1" operator="greaterThan">
      <formula>0</formula>
    </cfRule>
  </conditionalFormatting>
  <conditionalFormatting sqref="B35:C35">
    <cfRule type="cellIs" dxfId="0" priority="8" stopIfTrue="1" operator="greaterThan">
      <formula>0</formula>
    </cfRule>
  </conditionalFormatting>
  <conditionalFormatting sqref="B30:C30">
    <cfRule type="cellIs" dxfId="0" priority="9" stopIfTrue="1" operator="lessThan">
      <formula>-0.5</formula>
    </cfRule>
  </conditionalFormatting>
  <conditionalFormatting sqref="B27:C27">
    <cfRule type="cellIs" dxfId="0" priority="10" stopIfTrue="1" operator="lessThan">
      <formula>-0.5</formula>
    </cfRule>
  </conditionalFormatting>
  <conditionalFormatting sqref="B20:C20">
    <cfRule type="cellIs" dxfId="0" priority="11" stopIfTrue="1" operator="greaterThan">
      <formula>0</formula>
    </cfRule>
  </conditionalFormatting>
  <conditionalFormatting sqref="B18:C18">
    <cfRule type="cellIs" dxfId="0" priority="12" stopIfTrue="1" operator="greaterThan">
      <formula>0</formula>
    </cfRule>
  </conditionalFormatting>
  <conditionalFormatting sqref="B13:C13">
    <cfRule type="cellIs" dxfId="0" priority="13" stopIfTrue="1" operator="lessThan">
      <formula>-0.5</formula>
    </cfRule>
  </conditionalFormatting>
  <conditionalFormatting sqref="B10:C10">
    <cfRule type="cellIs" dxfId="0" priority="14" stopIfTrue="1" operator="lessThan">
      <formula>-0.5</formula>
    </cfRule>
  </conditionalFormatting>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ySplit="2.0" topLeftCell="B3" activePane="bottomRight" state="frozen"/>
      <selection activeCell="B1" sqref="B1" pane="topRight"/>
      <selection activeCell="A3" sqref="A3" pane="bottomLeft"/>
      <selection activeCell="B3" sqref="B3" pane="bottomRight"/>
    </sheetView>
  </sheetViews>
  <sheetFormatPr customHeight="1" defaultColWidth="14.43" defaultRowHeight="15.0" outlineLevelRow="1"/>
  <cols>
    <col customWidth="1" min="1" max="1" width="74.43"/>
    <col customWidth="1" min="2" max="27" width="14.43"/>
  </cols>
  <sheetData>
    <row r="1">
      <c r="A1" s="1" t="s">
        <v>342</v>
      </c>
    </row>
    <row r="2">
      <c r="A2" s="4" t="s">
        <v>294</v>
      </c>
      <c r="B2" s="67">
        <v>1.0</v>
      </c>
      <c r="C2" s="46">
        <f t="shared" ref="C2:Y2" si="1">B2+1</f>
        <v>2</v>
      </c>
      <c r="D2" s="46">
        <f t="shared" si="1"/>
        <v>3</v>
      </c>
      <c r="E2" s="46">
        <f t="shared" si="1"/>
        <v>4</v>
      </c>
      <c r="F2" s="46">
        <f t="shared" si="1"/>
        <v>5</v>
      </c>
      <c r="G2" s="46">
        <f t="shared" si="1"/>
        <v>6</v>
      </c>
      <c r="H2" s="46">
        <f t="shared" si="1"/>
        <v>7</v>
      </c>
      <c r="I2" s="46">
        <f t="shared" si="1"/>
        <v>8</v>
      </c>
      <c r="J2" s="46">
        <f t="shared" si="1"/>
        <v>9</v>
      </c>
      <c r="K2" s="46">
        <f t="shared" si="1"/>
        <v>10</v>
      </c>
      <c r="L2" s="46">
        <f t="shared" si="1"/>
        <v>11</v>
      </c>
      <c r="M2" s="46">
        <f t="shared" si="1"/>
        <v>12</v>
      </c>
      <c r="N2" s="46">
        <f t="shared" si="1"/>
        <v>13</v>
      </c>
      <c r="O2" s="46">
        <f t="shared" si="1"/>
        <v>14</v>
      </c>
      <c r="P2" s="46">
        <f t="shared" si="1"/>
        <v>15</v>
      </c>
      <c r="Q2" s="46">
        <f t="shared" si="1"/>
        <v>16</v>
      </c>
      <c r="R2" s="46">
        <f t="shared" si="1"/>
        <v>17</v>
      </c>
      <c r="S2" s="46">
        <f t="shared" si="1"/>
        <v>18</v>
      </c>
      <c r="T2" s="46">
        <f t="shared" si="1"/>
        <v>19</v>
      </c>
      <c r="U2" s="46">
        <f t="shared" si="1"/>
        <v>20</v>
      </c>
      <c r="V2" s="46">
        <f t="shared" si="1"/>
        <v>21</v>
      </c>
      <c r="W2" s="46">
        <f t="shared" si="1"/>
        <v>22</v>
      </c>
      <c r="X2" s="46">
        <f t="shared" si="1"/>
        <v>23</v>
      </c>
      <c r="Y2" s="46">
        <f t="shared" si="1"/>
        <v>24</v>
      </c>
      <c r="Z2" s="68" t="s">
        <v>119</v>
      </c>
      <c r="AA2" s="68" t="s">
        <v>120</v>
      </c>
    </row>
    <row r="3">
      <c r="A3" s="38" t="s">
        <v>295</v>
      </c>
      <c r="B3" s="69">
        <f t="shared" ref="B3:Y3" si="2">ROUNDUP(B$2/3,0)</f>
        <v>1</v>
      </c>
      <c r="C3" s="69">
        <f t="shared" si="2"/>
        <v>1</v>
      </c>
      <c r="D3" s="69">
        <f t="shared" si="2"/>
        <v>1</v>
      </c>
      <c r="E3" s="69">
        <f t="shared" si="2"/>
        <v>2</v>
      </c>
      <c r="F3" s="69">
        <f t="shared" si="2"/>
        <v>2</v>
      </c>
      <c r="G3" s="69">
        <f t="shared" si="2"/>
        <v>2</v>
      </c>
      <c r="H3" s="69">
        <f t="shared" si="2"/>
        <v>3</v>
      </c>
      <c r="I3" s="69">
        <f t="shared" si="2"/>
        <v>3</v>
      </c>
      <c r="J3" s="69">
        <f t="shared" si="2"/>
        <v>3</v>
      </c>
      <c r="K3" s="69">
        <f t="shared" si="2"/>
        <v>4</v>
      </c>
      <c r="L3" s="69">
        <f t="shared" si="2"/>
        <v>4</v>
      </c>
      <c r="M3" s="69">
        <f t="shared" si="2"/>
        <v>4</v>
      </c>
      <c r="N3" s="69">
        <f t="shared" si="2"/>
        <v>5</v>
      </c>
      <c r="O3" s="69">
        <f t="shared" si="2"/>
        <v>5</v>
      </c>
      <c r="P3" s="69">
        <f t="shared" si="2"/>
        <v>5</v>
      </c>
      <c r="Q3" s="69">
        <f t="shared" si="2"/>
        <v>6</v>
      </c>
      <c r="R3" s="69">
        <f t="shared" si="2"/>
        <v>6</v>
      </c>
      <c r="S3" s="69">
        <f t="shared" si="2"/>
        <v>6</v>
      </c>
      <c r="T3" s="69">
        <f t="shared" si="2"/>
        <v>7</v>
      </c>
      <c r="U3" s="69">
        <f t="shared" si="2"/>
        <v>7</v>
      </c>
      <c r="V3" s="69">
        <f t="shared" si="2"/>
        <v>7</v>
      </c>
      <c r="W3" s="69">
        <f t="shared" si="2"/>
        <v>8</v>
      </c>
      <c r="X3" s="69">
        <f t="shared" si="2"/>
        <v>8</v>
      </c>
      <c r="Y3" s="69">
        <f t="shared" si="2"/>
        <v>8</v>
      </c>
      <c r="Z3" s="69"/>
      <c r="AA3" s="69"/>
    </row>
    <row r="4">
      <c r="A4" s="38" t="s">
        <v>296</v>
      </c>
      <c r="B4" s="69">
        <f t="shared" ref="B4:Y4" si="3">ROUNDUP(B$2/12,0)</f>
        <v>1</v>
      </c>
      <c r="C4" s="69">
        <f t="shared" si="3"/>
        <v>1</v>
      </c>
      <c r="D4" s="69">
        <f t="shared" si="3"/>
        <v>1</v>
      </c>
      <c r="E4" s="69">
        <f t="shared" si="3"/>
        <v>1</v>
      </c>
      <c r="F4" s="69">
        <f t="shared" si="3"/>
        <v>1</v>
      </c>
      <c r="G4" s="69">
        <f t="shared" si="3"/>
        <v>1</v>
      </c>
      <c r="H4" s="69">
        <f t="shared" si="3"/>
        <v>1</v>
      </c>
      <c r="I4" s="69">
        <f t="shared" si="3"/>
        <v>1</v>
      </c>
      <c r="J4" s="69">
        <f t="shared" si="3"/>
        <v>1</v>
      </c>
      <c r="K4" s="69">
        <f t="shared" si="3"/>
        <v>1</v>
      </c>
      <c r="L4" s="69">
        <f t="shared" si="3"/>
        <v>1</v>
      </c>
      <c r="M4" s="69">
        <f t="shared" si="3"/>
        <v>1</v>
      </c>
      <c r="N4" s="69">
        <f t="shared" si="3"/>
        <v>2</v>
      </c>
      <c r="O4" s="69">
        <f t="shared" si="3"/>
        <v>2</v>
      </c>
      <c r="P4" s="69">
        <f t="shared" si="3"/>
        <v>2</v>
      </c>
      <c r="Q4" s="69">
        <f t="shared" si="3"/>
        <v>2</v>
      </c>
      <c r="R4" s="69">
        <f t="shared" si="3"/>
        <v>2</v>
      </c>
      <c r="S4" s="69">
        <f t="shared" si="3"/>
        <v>2</v>
      </c>
      <c r="T4" s="69">
        <f t="shared" si="3"/>
        <v>2</v>
      </c>
      <c r="U4" s="69">
        <f t="shared" si="3"/>
        <v>2</v>
      </c>
      <c r="V4" s="69">
        <f t="shared" si="3"/>
        <v>2</v>
      </c>
      <c r="W4" s="69">
        <f t="shared" si="3"/>
        <v>2</v>
      </c>
      <c r="X4" s="69">
        <f t="shared" si="3"/>
        <v>2</v>
      </c>
      <c r="Y4" s="69">
        <f t="shared" si="3"/>
        <v>2</v>
      </c>
      <c r="Z4" s="69"/>
      <c r="AA4" s="69"/>
    </row>
    <row r="5" collapsed="1">
      <c r="A5" s="4" t="s">
        <v>15</v>
      </c>
      <c r="B5" s="46"/>
      <c r="C5" s="46"/>
      <c r="D5" s="46"/>
      <c r="E5" s="46"/>
      <c r="F5" s="46"/>
      <c r="G5" s="46"/>
      <c r="H5" s="46"/>
      <c r="I5" s="46"/>
      <c r="J5" s="46"/>
      <c r="K5" s="46"/>
      <c r="L5" s="46"/>
      <c r="M5" s="46"/>
      <c r="N5" s="46"/>
      <c r="O5" s="46"/>
      <c r="P5" s="46"/>
      <c r="Q5" s="46"/>
      <c r="R5" s="46"/>
      <c r="S5" s="46"/>
      <c r="T5" s="46"/>
      <c r="U5" s="46"/>
      <c r="V5" s="46"/>
      <c r="W5" s="46"/>
      <c r="X5" s="46"/>
      <c r="Y5" s="46"/>
      <c r="Z5" s="46"/>
      <c r="AA5" s="46"/>
    </row>
    <row r="6" hidden="1" outlineLevel="1">
      <c r="A6" s="12" t="s">
        <v>343</v>
      </c>
      <c r="B6" s="51"/>
      <c r="C6" s="51"/>
      <c r="D6" s="51"/>
      <c r="E6" s="51"/>
      <c r="F6" s="51"/>
      <c r="G6" s="51"/>
      <c r="H6" s="51"/>
      <c r="I6" s="51"/>
      <c r="J6" s="51"/>
      <c r="K6" s="51"/>
      <c r="L6" s="51"/>
      <c r="M6" s="51"/>
      <c r="N6" s="51"/>
      <c r="O6" s="51"/>
      <c r="P6" s="51"/>
      <c r="Q6" s="51"/>
      <c r="R6" s="51"/>
      <c r="S6" s="51"/>
      <c r="T6" s="51"/>
      <c r="U6" s="51"/>
      <c r="V6" s="51"/>
      <c r="W6" s="51"/>
      <c r="X6" s="51"/>
      <c r="Y6" s="51"/>
      <c r="Z6" s="51"/>
      <c r="AA6" s="51"/>
    </row>
    <row r="7" hidden="1" outlineLevel="1">
      <c r="A7" s="6" t="s">
        <v>344</v>
      </c>
      <c r="B7" s="73">
        <f>Inputs!J$59</f>
        <v>4</v>
      </c>
      <c r="C7" s="73">
        <f>Inputs!K$59</f>
        <v>0</v>
      </c>
      <c r="D7" s="73">
        <f>Inputs!L$59</f>
        <v>0</v>
      </c>
      <c r="E7" s="73">
        <f>Inputs!M$59</f>
        <v>2</v>
      </c>
      <c r="F7" s="73">
        <f>Inputs!N$59</f>
        <v>0</v>
      </c>
      <c r="G7" s="73">
        <f>Inputs!O$59</f>
        <v>0</v>
      </c>
      <c r="H7" s="73">
        <f>Inputs!P$59</f>
        <v>0</v>
      </c>
      <c r="I7" s="73">
        <f>Inputs!Q$59</f>
        <v>0</v>
      </c>
      <c r="J7" s="73">
        <f>Inputs!R$59</f>
        <v>0</v>
      </c>
      <c r="K7" s="73">
        <f>Inputs!S$59</f>
        <v>0</v>
      </c>
      <c r="L7" s="73">
        <f>Inputs!T$59</f>
        <v>0</v>
      </c>
      <c r="M7" s="73">
        <f>Inputs!U$59</f>
        <v>0</v>
      </c>
      <c r="N7" s="73">
        <f>Inputs!V$59</f>
        <v>2</v>
      </c>
      <c r="O7" s="73">
        <f>Inputs!W$59</f>
        <v>0</v>
      </c>
      <c r="P7" s="73">
        <f>Inputs!X$59</f>
        <v>0</v>
      </c>
      <c r="Q7" s="73">
        <f>Inputs!Y$59</f>
        <v>0</v>
      </c>
      <c r="R7" s="73">
        <f>Inputs!Z$59</f>
        <v>0</v>
      </c>
      <c r="S7" s="73">
        <f>Inputs!AA$59</f>
        <v>0</v>
      </c>
      <c r="T7" s="73">
        <f>Inputs!AB$59</f>
        <v>0</v>
      </c>
      <c r="U7" s="73">
        <f>Inputs!AC$59</f>
        <v>0</v>
      </c>
      <c r="V7" s="73">
        <f>Inputs!AD$59</f>
        <v>0</v>
      </c>
      <c r="W7" s="73">
        <f>Inputs!AE$59</f>
        <v>0</v>
      </c>
      <c r="X7" s="73">
        <f>Inputs!AF$59</f>
        <v>0</v>
      </c>
      <c r="Y7" s="73">
        <f>Inputs!AG$59</f>
        <v>0</v>
      </c>
      <c r="Z7" s="72">
        <f>SUM(B7:M7)</f>
        <v>6</v>
      </c>
      <c r="AA7" s="72">
        <f>SUM(N7:Y7)</f>
        <v>2</v>
      </c>
    </row>
    <row r="8" hidden="1" outlineLevel="1">
      <c r="A8" s="6" t="s">
        <v>345</v>
      </c>
      <c r="B8" s="75">
        <f>IF(B$2=1,Inputs!$B$31,A10)</f>
        <v>2</v>
      </c>
      <c r="C8" s="75">
        <f>IF(C$2=1,Inputs!$B$31,B10)</f>
        <v>5.941428939</v>
      </c>
      <c r="D8" s="75">
        <f>IF(D$2=1,Inputs!$B$31,C10)</f>
        <v>5.767431042</v>
      </c>
      <c r="E8" s="75">
        <f>IF(E$2=1,Inputs!$B$31,D10)</f>
        <v>5.598528765</v>
      </c>
      <c r="F8" s="75">
        <f>IF(F$2=1,Inputs!$B$31,E10)</f>
        <v>7.43457288</v>
      </c>
      <c r="G8" s="75">
        <f>IF(G$2=1,Inputs!$B$31,F10)</f>
        <v>7.21684747</v>
      </c>
      <c r="H8" s="75">
        <f>IF(H$2=1,Inputs!$B$31,G10)</f>
        <v>7.005498265</v>
      </c>
      <c r="I8" s="75">
        <f>IF(I$2=1,Inputs!$B$31,H10)</f>
        <v>6.800338532</v>
      </c>
      <c r="J8" s="75">
        <f>IF(J$2=1,Inputs!$B$31,I10)</f>
        <v>6.601187012</v>
      </c>
      <c r="K8" s="75">
        <f>IF(K$2=1,Inputs!$B$31,J10)</f>
        <v>6.407867749</v>
      </c>
      <c r="L8" s="75">
        <f>IF(L$2=1,Inputs!$B$31,K10)</f>
        <v>6.220209943</v>
      </c>
      <c r="M8" s="75">
        <f>IF(M$2=1,Inputs!$B$31,L10)</f>
        <v>6.038047796</v>
      </c>
      <c r="N8" s="75">
        <f>IF(N$2=1,Inputs!$B$31,M10)</f>
        <v>5.861220364</v>
      </c>
      <c r="O8" s="75">
        <f>IF(O$2=1,Inputs!$B$31,N10)</f>
        <v>7.689571417</v>
      </c>
      <c r="P8" s="75">
        <f>IF(P$2=1,Inputs!$B$31,O10)</f>
        <v>7.46437824</v>
      </c>
      <c r="Q8" s="75">
        <f>IF(Q$2=1,Inputs!$B$31,P10)</f>
        <v>7.245779964</v>
      </c>
      <c r="R8" s="75">
        <f>IF(R$2=1,Inputs!$B$31,Q10)</f>
        <v>7.033583455</v>
      </c>
      <c r="S8" s="75">
        <f>IF(S$2=1,Inputs!$B$31,R10)</f>
        <v>6.827601233</v>
      </c>
      <c r="T8" s="75">
        <f>IF(T$2=1,Inputs!$B$31,S10)</f>
        <v>6.62765131</v>
      </c>
      <c r="U8" s="75">
        <f>IF(U$2=1,Inputs!$B$31,T10)</f>
        <v>6.433557026</v>
      </c>
      <c r="V8" s="75">
        <f>IF(V$2=1,Inputs!$B$31,U10)</f>
        <v>6.245146896</v>
      </c>
      <c r="W8" s="75">
        <f>IF(W$2=1,Inputs!$B$31,V10)</f>
        <v>6.062254457</v>
      </c>
      <c r="X8" s="75">
        <f>IF(X$2=1,Inputs!$B$31,W10)</f>
        <v>5.88471812</v>
      </c>
      <c r="Y8" s="75">
        <f>IF(Y$2=1,Inputs!$B$31,X10)</f>
        <v>5.712381029</v>
      </c>
      <c r="Z8" s="76"/>
      <c r="AA8" s="76"/>
    </row>
    <row r="9" hidden="1" outlineLevel="1">
      <c r="A9" s="6" t="s">
        <v>346</v>
      </c>
      <c r="B9" s="75">
        <f>B8*(1-((1-Inputs!$B$34)^(1/12)))</f>
        <v>0.05857106075</v>
      </c>
      <c r="C9" s="75">
        <f>C8*(1-((1-Inputs!$B$34)^(1/12)))</f>
        <v>0.1739978977</v>
      </c>
      <c r="D9" s="75">
        <f>D8*(1-((1-Inputs!$B$34)^(1/12)))</f>
        <v>0.168902277</v>
      </c>
      <c r="E9" s="75">
        <f>E8*(1-((1-Inputs!$B$34)^(1/12)))</f>
        <v>0.1639558842</v>
      </c>
      <c r="F9" s="75">
        <f>F8*(1-((1-Inputs!$B$34)^(1/12)))</f>
        <v>0.2177254099</v>
      </c>
      <c r="G9" s="75">
        <f>G8*(1-((1-Inputs!$B$34)^(1/12)))</f>
        <v>0.2113492058</v>
      </c>
      <c r="H9" s="75">
        <f>H8*(1-((1-Inputs!$B$34)^(1/12)))</f>
        <v>0.2051597322</v>
      </c>
      <c r="I9" s="75">
        <f>I8*(1-((1-Inputs!$B$34)^(1/12)))</f>
        <v>0.1991515207</v>
      </c>
      <c r="J9" s="75">
        <f>J8*(1-((1-Inputs!$B$34)^(1/12)))</f>
        <v>0.1933192628</v>
      </c>
      <c r="K9" s="75">
        <f>K8*(1-((1-Inputs!$B$34)^(1/12)))</f>
        <v>0.1876578056</v>
      </c>
      <c r="L9" s="75">
        <f>L8*(1-((1-Inputs!$B$34)^(1/12)))</f>
        <v>0.1821621472</v>
      </c>
      <c r="M9" s="75">
        <f>M8*(1-((1-Inputs!$B$34)^(1/12)))</f>
        <v>0.1768274322</v>
      </c>
      <c r="N9" s="75">
        <f>N8*(1-((1-Inputs!$B$34)^(1/12)))</f>
        <v>0.171648947</v>
      </c>
      <c r="O9" s="75">
        <f>O8*(1-((1-Inputs!$B$34)^(1/12)))</f>
        <v>0.2251931773</v>
      </c>
      <c r="P9" s="75">
        <f>P8*(1-((1-Inputs!$B$34)^(1/12)))</f>
        <v>0.2185982757</v>
      </c>
      <c r="Q9" s="75">
        <f>Q8*(1-((1-Inputs!$B$34)^(1/12)))</f>
        <v>0.2121965092</v>
      </c>
      <c r="R9" s="75">
        <f>R8*(1-((1-Inputs!$B$34)^(1/12)))</f>
        <v>0.2059822219</v>
      </c>
      <c r="S9" s="75">
        <f>S8*(1-((1-Inputs!$B$34)^(1/12)))</f>
        <v>0.1999499233</v>
      </c>
      <c r="T9" s="75">
        <f>T8*(1-((1-Inputs!$B$34)^(1/12)))</f>
        <v>0.1940942838</v>
      </c>
      <c r="U9" s="75">
        <f>U8*(1-((1-Inputs!$B$34)^(1/12)))</f>
        <v>0.1884101297</v>
      </c>
      <c r="V9" s="75">
        <f>V8*(1-((1-Inputs!$B$34)^(1/12)))</f>
        <v>0.1828924391</v>
      </c>
      <c r="W9" s="75">
        <f>W8*(1-((1-Inputs!$B$34)^(1/12)))</f>
        <v>0.177536337</v>
      </c>
      <c r="X9" s="75">
        <f>X8*(1-((1-Inputs!$B$34)^(1/12)))</f>
        <v>0.1723370913</v>
      </c>
      <c r="Y9" s="75">
        <f>Y8*(1-((1-Inputs!$B$34)^(1/12)))</f>
        <v>0.1672901081</v>
      </c>
      <c r="Z9" s="76">
        <f>SUM(B9:M9)</f>
        <v>2.138779636</v>
      </c>
      <c r="AA9" s="76">
        <f>SUM(N9:Y9)</f>
        <v>2.316129444</v>
      </c>
    </row>
    <row r="10" hidden="1" outlineLevel="1">
      <c r="A10" s="6" t="s">
        <v>347</v>
      </c>
      <c r="B10" s="75">
        <f t="shared" ref="B10:Y10" si="4">B8+B7-B9</f>
        <v>5.941428939</v>
      </c>
      <c r="C10" s="75">
        <f t="shared" si="4"/>
        <v>5.767431042</v>
      </c>
      <c r="D10" s="75">
        <f t="shared" si="4"/>
        <v>5.598528765</v>
      </c>
      <c r="E10" s="75">
        <f t="shared" si="4"/>
        <v>7.43457288</v>
      </c>
      <c r="F10" s="75">
        <f t="shared" si="4"/>
        <v>7.21684747</v>
      </c>
      <c r="G10" s="75">
        <f t="shared" si="4"/>
        <v>7.005498265</v>
      </c>
      <c r="H10" s="75">
        <f t="shared" si="4"/>
        <v>6.800338532</v>
      </c>
      <c r="I10" s="75">
        <f t="shared" si="4"/>
        <v>6.601187012</v>
      </c>
      <c r="J10" s="75">
        <f t="shared" si="4"/>
        <v>6.407867749</v>
      </c>
      <c r="K10" s="75">
        <f t="shared" si="4"/>
        <v>6.220209943</v>
      </c>
      <c r="L10" s="75">
        <f t="shared" si="4"/>
        <v>6.038047796</v>
      </c>
      <c r="M10" s="75">
        <f t="shared" si="4"/>
        <v>5.861220364</v>
      </c>
      <c r="N10" s="75">
        <f t="shared" si="4"/>
        <v>7.689571417</v>
      </c>
      <c r="O10" s="75">
        <f t="shared" si="4"/>
        <v>7.46437824</v>
      </c>
      <c r="P10" s="75">
        <f t="shared" si="4"/>
        <v>7.245779964</v>
      </c>
      <c r="Q10" s="75">
        <f t="shared" si="4"/>
        <v>7.033583455</v>
      </c>
      <c r="R10" s="75">
        <f t="shared" si="4"/>
        <v>6.827601233</v>
      </c>
      <c r="S10" s="75">
        <f t="shared" si="4"/>
        <v>6.62765131</v>
      </c>
      <c r="T10" s="75">
        <f t="shared" si="4"/>
        <v>6.433557026</v>
      </c>
      <c r="U10" s="75">
        <f t="shared" si="4"/>
        <v>6.245146896</v>
      </c>
      <c r="V10" s="75">
        <f t="shared" si="4"/>
        <v>6.062254457</v>
      </c>
      <c r="W10" s="75">
        <f t="shared" si="4"/>
        <v>5.88471812</v>
      </c>
      <c r="X10" s="75">
        <f t="shared" si="4"/>
        <v>5.712381029</v>
      </c>
      <c r="Y10" s="75">
        <f t="shared" si="4"/>
        <v>5.54509092</v>
      </c>
      <c r="Z10" s="76">
        <f>M10</f>
        <v>5.861220364</v>
      </c>
      <c r="AA10" s="76">
        <f>Y10</f>
        <v>5.54509092</v>
      </c>
    </row>
    <row r="11" hidden="1" outlineLevel="1">
      <c r="A11" s="6" t="s">
        <v>348</v>
      </c>
      <c r="B11" s="75">
        <f>SUMPRODUCT($B7:B7,(((B$2-$B$2:B$2)&gt;=Inputs!$B$32)+((B$2-$B$2:B$2)&lt;Inputs!$B$32)*(B$2-$B$2:B$2)/MAX(Inputs!$B$32,1)),((1-Inputs!$B$34)^(1/12))^(B$2-$B$2:B$2))</f>
        <v>0</v>
      </c>
      <c r="C11" s="75">
        <f>SUMPRODUCT($B7:C7,(((C$2-$B$2:C$2)&gt;=Inputs!$B$32)+((C$2-$B$2:C$2)&lt;Inputs!$B$32)*(C$2-$B$2:C$2)/MAX(Inputs!$B$32,1)),((1-Inputs!$B$34)^(1/12))^(C$2-$B$2:C$2))</f>
        <v>1.941428939</v>
      </c>
      <c r="D11" s="75">
        <f>SUMPRODUCT($B7:D7,(((D$2-$B$2:D$2)&gt;=Inputs!$B$32)+((D$2-$B$2:D$2)&lt;Inputs!$B$32)*(D$2-$B$2:D$2)/MAX(Inputs!$B$32,1)),((1-Inputs!$B$34)^(1/12))^(D$2-$B$2:D$2))</f>
        <v>3.769146326</v>
      </c>
      <c r="E11" s="75">
        <f>SUMPRODUCT($B7:E7,(((E$2-$B$2:E$2)&gt;=Inputs!$B$32)+((E$2-$B$2:E$2)&lt;Inputs!$B$32)*(E$2-$B$2:E$2)/MAX(Inputs!$B$32,1)),((1-Inputs!$B$34)^(1/12))^(E$2-$B$2:E$2))</f>
        <v>3.658764877</v>
      </c>
      <c r="F11" s="75">
        <f>SUMPRODUCT($B7:F7,(((F$2-$B$2:F$2)&gt;=Inputs!$B$32)+((F$2-$B$2:F$2)&lt;Inputs!$B$32)*(F$2-$B$2:F$2)/MAX(Inputs!$B$32,1)),((1-Inputs!$B$34)^(1/12))^(F$2-$B$2:F$2))</f>
        <v>4.522330477</v>
      </c>
      <c r="G11" s="75">
        <f>SUMPRODUCT($B7:G7,(((G$2-$B$2:G$2)&gt;=Inputs!$B$32)+((G$2-$B$2:G$2)&lt;Inputs!$B$32)*(G$2-$B$2:G$2)/MAX(Inputs!$B$32,1)),((1-Inputs!$B$34)^(1/12))^(G$2-$B$2:G$2))</f>
        <v>5.332178212</v>
      </c>
      <c r="H11" s="75">
        <f>SUMPRODUCT($B7:H7,(((H$2-$B$2:H$2)&gt;=Inputs!$B$32)+((H$2-$B$2:H$2)&lt;Inputs!$B$32)*(H$2-$B$2:H$2)/MAX(Inputs!$B$32,1)),((1-Inputs!$B$34)^(1/12))^(H$2-$B$2:H$2))</f>
        <v>5.176022545</v>
      </c>
      <c r="I11" s="75">
        <f>SUMPRODUCT($B7:I7,(((I$2-$B$2:I$2)&gt;=Inputs!$B$32)+((I$2-$B$2:I$2)&lt;Inputs!$B$32)*(I$2-$B$2:I$2)/MAX(Inputs!$B$32,1)),((1-Inputs!$B$34)^(1/12))^(I$2-$B$2:I$2))</f>
        <v>5.024439979</v>
      </c>
      <c r="J11" s="75">
        <f>SUMPRODUCT($B7:J7,(((J$2-$B$2:J$2)&gt;=Inputs!$B$32)+((J$2-$B$2:J$2)&lt;Inputs!$B$32)*(J$2-$B$2:J$2)/MAX(Inputs!$B$32,1)),((1-Inputs!$B$34)^(1/12))^(J$2-$B$2:J$2))</f>
        <v>4.877296589</v>
      </c>
      <c r="K11" s="75">
        <f>SUMPRODUCT($B7:K7,(((K$2-$B$2:K$2)&gt;=Inputs!$B$32)+((K$2-$B$2:K$2)&lt;Inputs!$B$32)*(K$2-$B$2:K$2)/MAX(Inputs!$B$32,1)),((1-Inputs!$B$34)^(1/12))^(K$2-$B$2:K$2))</f>
        <v>4.734462372</v>
      </c>
      <c r="L11" s="75">
        <f>SUMPRODUCT($B7:L7,(((L$2-$B$2:L$2)&gt;=Inputs!$B$32)+((L$2-$B$2:L$2)&lt;Inputs!$B$32)*(L$2-$B$2:L$2)/MAX(Inputs!$B$32,1)),((1-Inputs!$B$34)^(1/12))^(L$2-$B$2:L$2))</f>
        <v>4.59581113</v>
      </c>
      <c r="M11" s="75">
        <f>SUMPRODUCT($B7:M7,(((M$2-$B$2:M$2)&gt;=Inputs!$B$32)+((M$2-$B$2:M$2)&lt;Inputs!$B$32)*(M$2-$B$2:M$2)/MAX(Inputs!$B$32,1)),((1-Inputs!$B$34)^(1/12))^(M$2-$B$2:M$2))</f>
        <v>4.461220364</v>
      </c>
      <c r="N11" s="75">
        <f>SUMPRODUCT($B7:N7,(((N$2-$B$2:N$2)&gt;=Inputs!$B$32)+((N$2-$B$2:N$2)&lt;Inputs!$B$32)*(N$2-$B$2:N$2)/MAX(Inputs!$B$32,1)),((1-Inputs!$B$34)^(1/12))^(N$2-$B$2:N$2))</f>
        <v>4.33057116</v>
      </c>
      <c r="O11" s="75">
        <f>SUMPRODUCT($B7:O7,(((O$2-$B$2:O$2)&gt;=Inputs!$B$32)+((O$2-$B$2:O$2)&lt;Inputs!$B$32)*(O$2-$B$2:O$2)/MAX(Inputs!$B$32,1)),((1-Inputs!$B$34)^(1/12))^(O$2-$B$2:O$2))</f>
        <v>5.174462556</v>
      </c>
      <c r="P11" s="75">
        <f>SUMPRODUCT($B7:P7,(((P$2-$B$2:P$2)&gt;=Inputs!$B$32)+((P$2-$B$2:P$2)&lt;Inputs!$B$32)*(P$2-$B$2:P$2)/MAX(Inputs!$B$32,1)),((1-Inputs!$B$34)^(1/12))^(P$2-$B$2:P$2))</f>
        <v>5.965212257</v>
      </c>
      <c r="Q11" s="75">
        <f>SUMPRODUCT($B7:Q7,(((Q$2-$B$2:Q$2)&gt;=Inputs!$B$32)+((Q$2-$B$2:Q$2)&lt;Inputs!$B$32)*(Q$2-$B$2:Q$2)/MAX(Inputs!$B$32,1)),((1-Inputs!$B$34)^(1/12))^(Q$2-$B$2:Q$2))</f>
        <v>5.790517852</v>
      </c>
      <c r="R11" s="75">
        <f>SUMPRODUCT($B7:R7,(((R$2-$B$2:R$2)&gt;=Inputs!$B$32)+((R$2-$B$2:R$2)&lt;Inputs!$B$32)*(R$2-$B$2:R$2)/MAX(Inputs!$B$32,1)),((1-Inputs!$B$34)^(1/12))^(R$2-$B$2:R$2))</f>
        <v>5.620939466</v>
      </c>
      <c r="S11" s="75">
        <f>SUMPRODUCT($B7:S7,(((S$2-$B$2:S$2)&gt;=Inputs!$B$32)+((S$2-$B$2:S$2)&lt;Inputs!$B$32)*(S$2-$B$2:S$2)/MAX(Inputs!$B$32,1)),((1-Inputs!$B$34)^(1/12))^(S$2-$B$2:S$2))</f>
        <v>5.456327272</v>
      </c>
      <c r="T11" s="75">
        <f>SUMPRODUCT($B7:T7,(((T$2-$B$2:T$2)&gt;=Inputs!$B$32)+((T$2-$B$2:T$2)&lt;Inputs!$B$32)*(T$2-$B$2:T$2)/MAX(Inputs!$B$32,1)),((1-Inputs!$B$34)^(1/12))^(T$2-$B$2:T$2))</f>
        <v>5.296535834</v>
      </c>
      <c r="U11" s="75">
        <f>SUMPRODUCT($B7:U7,(((U$2-$B$2:U$2)&gt;=Inputs!$B$32)+((U$2-$B$2:U$2)&lt;Inputs!$B$32)*(U$2-$B$2:U$2)/MAX(Inputs!$B$32,1)),((1-Inputs!$B$34)^(1/12))^(U$2-$B$2:U$2))</f>
        <v>5.141423973</v>
      </c>
      <c r="V11" s="75">
        <f>SUMPRODUCT($B7:V7,(((V$2-$B$2:V$2)&gt;=Inputs!$B$32)+((V$2-$B$2:V$2)&lt;Inputs!$B$32)*(V$2-$B$2:V$2)/MAX(Inputs!$B$32,1)),((1-Inputs!$B$34)^(1/12))^(V$2-$B$2:V$2))</f>
        <v>4.990854645</v>
      </c>
      <c r="W11" s="75">
        <f>SUMPRODUCT($B7:W7,(((W$2-$B$2:W$2)&gt;=Inputs!$B$32)+((W$2-$B$2:W$2)&lt;Inputs!$B$32)*(W$2-$B$2:W$2)/MAX(Inputs!$B$32,1)),((1-Inputs!$B$34)^(1/12))^(W$2-$B$2:W$2))</f>
        <v>4.84469482</v>
      </c>
      <c r="X11" s="75">
        <f>SUMPRODUCT($B7:X7,(((X$2-$B$2:X$2)&gt;=Inputs!$B$32)+((X$2-$B$2:X$2)&lt;Inputs!$B$32)*(X$2-$B$2:X$2)/MAX(Inputs!$B$32,1)),((1-Inputs!$B$34)^(1/12))^(X$2-$B$2:X$2))</f>
        <v>4.702815363</v>
      </c>
      <c r="Y11" s="75">
        <f>SUMPRODUCT($B7:Y7,(((Y$2-$B$2:Y$2)&gt;=Inputs!$B$32)+((Y$2-$B$2:Y$2)&lt;Inputs!$B$32)*(Y$2-$B$2:Y$2)/MAX(Inputs!$B$32,1)),((1-Inputs!$B$34)^(1/12))^(Y$2-$B$2:Y$2))</f>
        <v>4.56509092</v>
      </c>
      <c r="Z11" s="76"/>
      <c r="AA11" s="76"/>
    </row>
    <row r="12" hidden="1" outlineLevel="1">
      <c r="A12" s="6" t="s">
        <v>349</v>
      </c>
      <c r="B12" s="75">
        <f>SUMPRODUCT($B7:B7,((((B$2-$B$2:B$2)-Inputs!$B$30)&gt;=Inputs!$B$32)+(((B$2-$B$2:B$2)-Inputs!$B$30)&lt;Inputs!$B$32)*((((B$2-$B$2:B$2)-Inputs!$B$30)/MAX(Inputs!$B$32,1)&gt;Inputs!$B$33)*((B$2-$B$2:B$2)-Inputs!$B$30)/MAX(Inputs!$B$32,1)+(((B$2-$B$2:B$2)-Inputs!$B$30)/MAX(Inputs!$B$32,1)&lt;=Inputs!$B$33)*Inputs!$B$33)),((1-Inputs!$B$34)^(1/12))^(B$2-$B$2:B$2))</f>
        <v>0</v>
      </c>
      <c r="C12" s="75">
        <f>SUMPRODUCT($B7:C7,((((C$2-$B$2:C$2)-Inputs!$B$30)&gt;=Inputs!$B$32)+(((C$2-$B$2:C$2)-Inputs!$B$30)&lt;Inputs!$B$32)*((((C$2-$B$2:C$2)-Inputs!$B$30)/MAX(Inputs!$B$32,1)&gt;Inputs!$B$33)*((C$2-$B$2:C$2)-Inputs!$B$30)/MAX(Inputs!$B$32,1)+(((C$2-$B$2:C$2)-Inputs!$B$30)/MAX(Inputs!$B$32,1)&lt;=Inputs!$B$33)*Inputs!$B$33)),((1-Inputs!$B$34)^(1/12))^(C$2-$B$2:C$2))</f>
        <v>0</v>
      </c>
      <c r="D12" s="75">
        <f>SUMPRODUCT($B7:D7,((((D$2-$B$2:D$2)-Inputs!$B$30)&gt;=Inputs!$B$32)+(((D$2-$B$2:D$2)-Inputs!$B$30)&lt;Inputs!$B$32)*((((D$2-$B$2:D$2)-Inputs!$B$30)/MAX(Inputs!$B$32,1)&gt;Inputs!$B$33)*((D$2-$B$2:D$2)-Inputs!$B$30)/MAX(Inputs!$B$32,1)+(((D$2-$B$2:D$2)-Inputs!$B$30)/MAX(Inputs!$B$32,1)&lt;=Inputs!$B$33)*Inputs!$B$33)),((1-Inputs!$B$34)^(1/12))^(D$2-$B$2:D$2))</f>
        <v>1.884573163</v>
      </c>
      <c r="E12" s="75">
        <f>SUMPRODUCT($B7:E7,((((E$2-$B$2:E$2)-Inputs!$B$30)&gt;=Inputs!$B$32)+(((E$2-$B$2:E$2)-Inputs!$B$30)&lt;Inputs!$B$32)*((((E$2-$B$2:E$2)-Inputs!$B$30)/MAX(Inputs!$B$32,1)&gt;Inputs!$B$33)*((E$2-$B$2:E$2)-Inputs!$B$30)/MAX(Inputs!$B$32,1)+(((E$2-$B$2:E$2)-Inputs!$B$30)/MAX(Inputs!$B$32,1)&lt;=Inputs!$B$33)*Inputs!$B$33)),((1-Inputs!$B$34)^(1/12))^(E$2-$B$2:E$2))</f>
        <v>3.658764877</v>
      </c>
      <c r="F12" s="75">
        <f>SUMPRODUCT($B7:F7,((((F$2-$B$2:F$2)-Inputs!$B$30)&gt;=Inputs!$B$32)+(((F$2-$B$2:F$2)-Inputs!$B$30)&lt;Inputs!$B$32)*((((F$2-$B$2:F$2)-Inputs!$B$30)/MAX(Inputs!$B$32,1)&gt;Inputs!$B$33)*((F$2-$B$2:F$2)-Inputs!$B$30)/MAX(Inputs!$B$32,1)+(((F$2-$B$2:F$2)-Inputs!$B$30)/MAX(Inputs!$B$32,1)&lt;=Inputs!$B$33)*Inputs!$B$33)),((1-Inputs!$B$34)^(1/12))^(F$2-$B$2:F$2))</f>
        <v>3.551616007</v>
      </c>
      <c r="G12" s="75">
        <f>SUMPRODUCT($B7:G7,((((G$2-$B$2:G$2)-Inputs!$B$30)&gt;=Inputs!$B$32)+(((G$2-$B$2:G$2)-Inputs!$B$30)&lt;Inputs!$B$32)*((((G$2-$B$2:G$2)-Inputs!$B$30)/MAX(Inputs!$B$32,1)&gt;Inputs!$B$33)*((G$2-$B$2:G$2)-Inputs!$B$30)/MAX(Inputs!$B$32,1)+(((G$2-$B$2:G$2)-Inputs!$B$30)/MAX(Inputs!$B$32,1)&lt;=Inputs!$B$33)*Inputs!$B$33)),((1-Inputs!$B$34)^(1/12))^(G$2-$B$2:G$2))</f>
        <v>4.38989163</v>
      </c>
      <c r="H12" s="75">
        <f>SUMPRODUCT($B7:H7,((((H$2-$B$2:H$2)-Inputs!$B$30)&gt;=Inputs!$B$32)+(((H$2-$B$2:H$2)-Inputs!$B$30)&lt;Inputs!$B$32)*((((H$2-$B$2:H$2)-Inputs!$B$30)/MAX(Inputs!$B$32,1)&gt;Inputs!$B$33)*((H$2-$B$2:H$2)-Inputs!$B$30)/MAX(Inputs!$B$32,1)+(((H$2-$B$2:H$2)-Inputs!$B$30)/MAX(Inputs!$B$32,1)&lt;=Inputs!$B$33)*Inputs!$B$33)),((1-Inputs!$B$34)^(1/12))^(H$2-$B$2:H$2))</f>
        <v>5.176022545</v>
      </c>
      <c r="I12" s="75">
        <f>SUMPRODUCT($B7:I7,((((I$2-$B$2:I$2)-Inputs!$B$30)&gt;=Inputs!$B$32)+(((I$2-$B$2:I$2)-Inputs!$B$30)&lt;Inputs!$B$32)*((((I$2-$B$2:I$2)-Inputs!$B$30)/MAX(Inputs!$B$32,1)&gt;Inputs!$B$33)*((I$2-$B$2:I$2)-Inputs!$B$30)/MAX(Inputs!$B$32,1)+(((I$2-$B$2:I$2)-Inputs!$B$30)/MAX(Inputs!$B$32,1)&lt;=Inputs!$B$33)*Inputs!$B$33)),((1-Inputs!$B$34)^(1/12))^(I$2-$B$2:I$2))</f>
        <v>5.024439979</v>
      </c>
      <c r="J12" s="75">
        <f>SUMPRODUCT($B7:J7,((((J$2-$B$2:J$2)-Inputs!$B$30)&gt;=Inputs!$B$32)+(((J$2-$B$2:J$2)-Inputs!$B$30)&lt;Inputs!$B$32)*((((J$2-$B$2:J$2)-Inputs!$B$30)/MAX(Inputs!$B$32,1)&gt;Inputs!$B$33)*((J$2-$B$2:J$2)-Inputs!$B$30)/MAX(Inputs!$B$32,1)+(((J$2-$B$2:J$2)-Inputs!$B$30)/MAX(Inputs!$B$32,1)&lt;=Inputs!$B$33)*Inputs!$B$33)),((1-Inputs!$B$34)^(1/12))^(J$2-$B$2:J$2))</f>
        <v>4.877296589</v>
      </c>
      <c r="K12" s="75">
        <f>SUMPRODUCT($B7:K7,((((K$2-$B$2:K$2)-Inputs!$B$30)&gt;=Inputs!$B$32)+(((K$2-$B$2:K$2)-Inputs!$B$30)&lt;Inputs!$B$32)*((((K$2-$B$2:K$2)-Inputs!$B$30)/MAX(Inputs!$B$32,1)&gt;Inputs!$B$33)*((K$2-$B$2:K$2)-Inputs!$B$30)/MAX(Inputs!$B$32,1)+(((K$2-$B$2:K$2)-Inputs!$B$30)/MAX(Inputs!$B$32,1)&lt;=Inputs!$B$33)*Inputs!$B$33)),((1-Inputs!$B$34)^(1/12))^(K$2-$B$2:K$2))</f>
        <v>4.734462372</v>
      </c>
      <c r="L12" s="75">
        <f>SUMPRODUCT($B7:L7,((((L$2-$B$2:L$2)-Inputs!$B$30)&gt;=Inputs!$B$32)+(((L$2-$B$2:L$2)-Inputs!$B$30)&lt;Inputs!$B$32)*((((L$2-$B$2:L$2)-Inputs!$B$30)/MAX(Inputs!$B$32,1)&gt;Inputs!$B$33)*((L$2-$B$2:L$2)-Inputs!$B$30)/MAX(Inputs!$B$32,1)+(((L$2-$B$2:L$2)-Inputs!$B$30)/MAX(Inputs!$B$32,1)&lt;=Inputs!$B$33)*Inputs!$B$33)),((1-Inputs!$B$34)^(1/12))^(L$2-$B$2:L$2))</f>
        <v>4.59581113</v>
      </c>
      <c r="M12" s="75">
        <f>SUMPRODUCT($B7:M7,((((M$2-$B$2:M$2)-Inputs!$B$30)&gt;=Inputs!$B$32)+(((M$2-$B$2:M$2)-Inputs!$B$30)&lt;Inputs!$B$32)*((((M$2-$B$2:M$2)-Inputs!$B$30)/MAX(Inputs!$B$32,1)&gt;Inputs!$B$33)*((M$2-$B$2:M$2)-Inputs!$B$30)/MAX(Inputs!$B$32,1)+(((M$2-$B$2:M$2)-Inputs!$B$30)/MAX(Inputs!$B$32,1)&lt;=Inputs!$B$33)*Inputs!$B$33)),((1-Inputs!$B$34)^(1/12))^(M$2-$B$2:M$2))</f>
        <v>4.461220364</v>
      </c>
      <c r="N12" s="75">
        <f>SUMPRODUCT($B7:N7,((((N$2-$B$2:N$2)-Inputs!$B$30)&gt;=Inputs!$B$32)+(((N$2-$B$2:N$2)-Inputs!$B$30)&lt;Inputs!$B$32)*((((N$2-$B$2:N$2)-Inputs!$B$30)/MAX(Inputs!$B$32,1)&gt;Inputs!$B$33)*((N$2-$B$2:N$2)-Inputs!$B$30)/MAX(Inputs!$B$32,1)+(((N$2-$B$2:N$2)-Inputs!$B$30)/MAX(Inputs!$B$32,1)&lt;=Inputs!$B$33)*Inputs!$B$33)),((1-Inputs!$B$34)^(1/12))^(N$2-$B$2:N$2))</f>
        <v>4.33057116</v>
      </c>
      <c r="O12" s="75">
        <f>SUMPRODUCT($B7:O7,((((O$2-$B$2:O$2)-Inputs!$B$30)&gt;=Inputs!$B$32)+(((O$2-$B$2:O$2)-Inputs!$B$30)&lt;Inputs!$B$32)*((((O$2-$B$2:O$2)-Inputs!$B$30)/MAX(Inputs!$B$32,1)&gt;Inputs!$B$33)*((O$2-$B$2:O$2)-Inputs!$B$30)/MAX(Inputs!$B$32,1)+(((O$2-$B$2:O$2)-Inputs!$B$30)/MAX(Inputs!$B$32,1)&lt;=Inputs!$B$33)*Inputs!$B$33)),((1-Inputs!$B$34)^(1/12))^(O$2-$B$2:O$2))</f>
        <v>4.203748086</v>
      </c>
      <c r="P12" s="75">
        <f>SUMPRODUCT($B7:P7,((((P$2-$B$2:P$2)-Inputs!$B$30)&gt;=Inputs!$B$32)+(((P$2-$B$2:P$2)-Inputs!$B$30)&lt;Inputs!$B$32)*((((P$2-$B$2:P$2)-Inputs!$B$30)/MAX(Inputs!$B$32,1)&gt;Inputs!$B$33)*((P$2-$B$2:P$2)-Inputs!$B$30)/MAX(Inputs!$B$32,1)+(((P$2-$B$2:P$2)-Inputs!$B$30)/MAX(Inputs!$B$32,1)&lt;=Inputs!$B$33)*Inputs!$B$33)),((1-Inputs!$B$34)^(1/12))^(P$2-$B$2:P$2))</f>
        <v>5.022925676</v>
      </c>
      <c r="Q12" s="75">
        <f>SUMPRODUCT($B7:Q7,((((Q$2-$B$2:Q$2)-Inputs!$B$30)&gt;=Inputs!$B$32)+(((Q$2-$B$2:Q$2)-Inputs!$B$30)&lt;Inputs!$B$32)*((((Q$2-$B$2:Q$2)-Inputs!$B$30)/MAX(Inputs!$B$32,1)&gt;Inputs!$B$33)*((Q$2-$B$2:Q$2)-Inputs!$B$30)/MAX(Inputs!$B$32,1)+(((Q$2-$B$2:Q$2)-Inputs!$B$30)/MAX(Inputs!$B$32,1)&lt;=Inputs!$B$33)*Inputs!$B$33)),((1-Inputs!$B$34)^(1/12))^(Q$2-$B$2:Q$2))</f>
        <v>5.790517852</v>
      </c>
      <c r="R12" s="75">
        <f>SUMPRODUCT($B7:R7,((((R$2-$B$2:R$2)-Inputs!$B$30)&gt;=Inputs!$B$32)+(((R$2-$B$2:R$2)-Inputs!$B$30)&lt;Inputs!$B$32)*((((R$2-$B$2:R$2)-Inputs!$B$30)/MAX(Inputs!$B$32,1)&gt;Inputs!$B$33)*((R$2-$B$2:R$2)-Inputs!$B$30)/MAX(Inputs!$B$32,1)+(((R$2-$B$2:R$2)-Inputs!$B$30)/MAX(Inputs!$B$32,1)&lt;=Inputs!$B$33)*Inputs!$B$33)),((1-Inputs!$B$34)^(1/12))^(R$2-$B$2:R$2))</f>
        <v>5.620939466</v>
      </c>
      <c r="S12" s="75">
        <f>SUMPRODUCT($B7:S7,((((S$2-$B$2:S$2)-Inputs!$B$30)&gt;=Inputs!$B$32)+(((S$2-$B$2:S$2)-Inputs!$B$30)&lt;Inputs!$B$32)*((((S$2-$B$2:S$2)-Inputs!$B$30)/MAX(Inputs!$B$32,1)&gt;Inputs!$B$33)*((S$2-$B$2:S$2)-Inputs!$B$30)/MAX(Inputs!$B$32,1)+(((S$2-$B$2:S$2)-Inputs!$B$30)/MAX(Inputs!$B$32,1)&lt;=Inputs!$B$33)*Inputs!$B$33)),((1-Inputs!$B$34)^(1/12))^(S$2-$B$2:S$2))</f>
        <v>5.456327272</v>
      </c>
      <c r="T12" s="75">
        <f>SUMPRODUCT($B7:T7,((((T$2-$B$2:T$2)-Inputs!$B$30)&gt;=Inputs!$B$32)+(((T$2-$B$2:T$2)-Inputs!$B$30)&lt;Inputs!$B$32)*((((T$2-$B$2:T$2)-Inputs!$B$30)/MAX(Inputs!$B$32,1)&gt;Inputs!$B$33)*((T$2-$B$2:T$2)-Inputs!$B$30)/MAX(Inputs!$B$32,1)+(((T$2-$B$2:T$2)-Inputs!$B$30)/MAX(Inputs!$B$32,1)&lt;=Inputs!$B$33)*Inputs!$B$33)),((1-Inputs!$B$34)^(1/12))^(T$2-$B$2:T$2))</f>
        <v>5.296535834</v>
      </c>
      <c r="U12" s="75">
        <f>SUMPRODUCT($B7:U7,((((U$2-$B$2:U$2)-Inputs!$B$30)&gt;=Inputs!$B$32)+(((U$2-$B$2:U$2)-Inputs!$B$30)&lt;Inputs!$B$32)*((((U$2-$B$2:U$2)-Inputs!$B$30)/MAX(Inputs!$B$32,1)&gt;Inputs!$B$33)*((U$2-$B$2:U$2)-Inputs!$B$30)/MAX(Inputs!$B$32,1)+(((U$2-$B$2:U$2)-Inputs!$B$30)/MAX(Inputs!$B$32,1)&lt;=Inputs!$B$33)*Inputs!$B$33)),((1-Inputs!$B$34)^(1/12))^(U$2-$B$2:U$2))</f>
        <v>5.141423973</v>
      </c>
      <c r="V12" s="75">
        <f>SUMPRODUCT($B7:V7,((((V$2-$B$2:V$2)-Inputs!$B$30)&gt;=Inputs!$B$32)+(((V$2-$B$2:V$2)-Inputs!$B$30)&lt;Inputs!$B$32)*((((V$2-$B$2:V$2)-Inputs!$B$30)/MAX(Inputs!$B$32,1)&gt;Inputs!$B$33)*((V$2-$B$2:V$2)-Inputs!$B$30)/MAX(Inputs!$B$32,1)+(((V$2-$B$2:V$2)-Inputs!$B$30)/MAX(Inputs!$B$32,1)&lt;=Inputs!$B$33)*Inputs!$B$33)),((1-Inputs!$B$34)^(1/12))^(V$2-$B$2:V$2))</f>
        <v>4.990854645</v>
      </c>
      <c r="W12" s="75">
        <f>SUMPRODUCT($B7:W7,((((W$2-$B$2:W$2)-Inputs!$B$30)&gt;=Inputs!$B$32)+(((W$2-$B$2:W$2)-Inputs!$B$30)&lt;Inputs!$B$32)*((((W$2-$B$2:W$2)-Inputs!$B$30)/MAX(Inputs!$B$32,1)&gt;Inputs!$B$33)*((W$2-$B$2:W$2)-Inputs!$B$30)/MAX(Inputs!$B$32,1)+(((W$2-$B$2:W$2)-Inputs!$B$30)/MAX(Inputs!$B$32,1)&lt;=Inputs!$B$33)*Inputs!$B$33)),((1-Inputs!$B$34)^(1/12))^(W$2-$B$2:W$2))</f>
        <v>4.84469482</v>
      </c>
      <c r="X12" s="75">
        <f>SUMPRODUCT($B7:X7,((((X$2-$B$2:X$2)-Inputs!$B$30)&gt;=Inputs!$B$32)+(((X$2-$B$2:X$2)-Inputs!$B$30)&lt;Inputs!$B$32)*((((X$2-$B$2:X$2)-Inputs!$B$30)/MAX(Inputs!$B$32,1)&gt;Inputs!$B$33)*((X$2-$B$2:X$2)-Inputs!$B$30)/MAX(Inputs!$B$32,1)+(((X$2-$B$2:X$2)-Inputs!$B$30)/MAX(Inputs!$B$32,1)&lt;=Inputs!$B$33)*Inputs!$B$33)),((1-Inputs!$B$34)^(1/12))^(X$2-$B$2:X$2))</f>
        <v>4.702815363</v>
      </c>
      <c r="Y12" s="75">
        <f>SUMPRODUCT($B7:Y7,((((Y$2-$B$2:Y$2)-Inputs!$B$30)&gt;=Inputs!$B$32)+(((Y$2-$B$2:Y$2)-Inputs!$B$30)&lt;Inputs!$B$32)*((((Y$2-$B$2:Y$2)-Inputs!$B$30)/MAX(Inputs!$B$32,1)&gt;Inputs!$B$33)*((Y$2-$B$2:Y$2)-Inputs!$B$30)/MAX(Inputs!$B$32,1)+(((Y$2-$B$2:Y$2)-Inputs!$B$30)/MAX(Inputs!$B$32,1)&lt;=Inputs!$B$33)*Inputs!$B$33)),((1-Inputs!$B$34)^(1/12))^(Y$2-$B$2:Y$2))</f>
        <v>4.56509092</v>
      </c>
      <c r="Z12" s="76"/>
      <c r="AA12" s="76"/>
    </row>
    <row r="13" hidden="1" outlineLevel="1">
      <c r="A13" s="6" t="s">
        <v>350</v>
      </c>
      <c r="B13" s="75">
        <f>Inputs!$B$31*((1-Inputs!$B$34)^(1/12))^B$2+B12</f>
        <v>1.941428939</v>
      </c>
      <c r="C13" s="75">
        <f>Inputs!$B$31*((1-Inputs!$B$34)^(1/12))^C$2+C12</f>
        <v>1.884573163</v>
      </c>
      <c r="D13" s="75">
        <f>Inputs!$B$31*((1-Inputs!$B$34)^(1/12))^D$2+D12</f>
        <v>3.713955602</v>
      </c>
      <c r="E13" s="75">
        <f>Inputs!$B$31*((1-Inputs!$B$34)^(1/12))^E$2+E12</f>
        <v>5.43457288</v>
      </c>
      <c r="F13" s="75">
        <f>Inputs!$B$31*((1-Inputs!$B$34)^(1/12))^F$2+F12</f>
        <v>5.275418531</v>
      </c>
      <c r="G13" s="75">
        <f>Inputs!$B$31*((1-Inputs!$B$34)^(1/12))^G$2+G12</f>
        <v>6.063211683</v>
      </c>
      <c r="H13" s="75">
        <f>Inputs!$B$31*((1-Inputs!$B$34)^(1/12))^H$2+H12</f>
        <v>6.800338532</v>
      </c>
      <c r="I13" s="75">
        <f>Inputs!$B$31*((1-Inputs!$B$34)^(1/12))^I$2+I12</f>
        <v>6.601187012</v>
      </c>
      <c r="J13" s="75">
        <f>Inputs!$B$31*((1-Inputs!$B$34)^(1/12))^J$2+J12</f>
        <v>6.407867749</v>
      </c>
      <c r="K13" s="75">
        <f>Inputs!$B$31*((1-Inputs!$B$34)^(1/12))^K$2+K12</f>
        <v>6.220209943</v>
      </c>
      <c r="L13" s="75">
        <f>Inputs!$B$31*((1-Inputs!$B$34)^(1/12))^L$2+L12</f>
        <v>6.038047796</v>
      </c>
      <c r="M13" s="75">
        <f>Inputs!$B$31*((1-Inputs!$B$34)^(1/12))^M$2+M12</f>
        <v>5.861220364</v>
      </c>
      <c r="N13" s="75">
        <f>Inputs!$B$31*((1-Inputs!$B$34)^(1/12))^N$2+N12</f>
        <v>5.689571417</v>
      </c>
      <c r="O13" s="75">
        <f>Inputs!$B$31*((1-Inputs!$B$34)^(1/12))^O$2+O12</f>
        <v>5.5229493</v>
      </c>
      <c r="P13" s="75">
        <f>Inputs!$B$31*((1-Inputs!$B$34)^(1/12))^P$2+P12</f>
        <v>6.303493382</v>
      </c>
      <c r="Q13" s="75">
        <f>Inputs!$B$31*((1-Inputs!$B$34)^(1/12))^Q$2+Q12</f>
        <v>7.033583455</v>
      </c>
      <c r="R13" s="75">
        <f>Inputs!$B$31*((1-Inputs!$B$34)^(1/12))^R$2+R12</f>
        <v>6.827601233</v>
      </c>
      <c r="S13" s="75">
        <f>Inputs!$B$31*((1-Inputs!$B$34)^(1/12))^S$2+S12</f>
        <v>6.62765131</v>
      </c>
      <c r="T13" s="75">
        <f>Inputs!$B$31*((1-Inputs!$B$34)^(1/12))^T$2+T12</f>
        <v>6.433557026</v>
      </c>
      <c r="U13" s="75">
        <f>Inputs!$B$31*((1-Inputs!$B$34)^(1/12))^U$2+U12</f>
        <v>6.245146896</v>
      </c>
      <c r="V13" s="75">
        <f>Inputs!$B$31*((1-Inputs!$B$34)^(1/12))^V$2+V12</f>
        <v>6.062254457</v>
      </c>
      <c r="W13" s="75">
        <f>Inputs!$B$31*((1-Inputs!$B$34)^(1/12))^W$2+W12</f>
        <v>5.88471812</v>
      </c>
      <c r="X13" s="75">
        <f>Inputs!$B$31*((1-Inputs!$B$34)^(1/12))^X$2+X12</f>
        <v>5.712381029</v>
      </c>
      <c r="Y13" s="75">
        <f>Inputs!$B$31*((1-Inputs!$B$34)^(1/12))^Y$2+Y12</f>
        <v>5.54509092</v>
      </c>
      <c r="Z13" s="76">
        <f>M13</f>
        <v>5.861220364</v>
      </c>
      <c r="AA13" s="76">
        <f>Y13</f>
        <v>5.54509092</v>
      </c>
    </row>
    <row r="14" hidden="1" outlineLevel="1">
      <c r="A14" s="6" t="s">
        <v>351</v>
      </c>
      <c r="B14" s="70">
        <f>'Rep capacity'!$B$13</f>
        <v>40658.82353</v>
      </c>
      <c r="C14" s="70">
        <f>'Rep capacity'!$B$13</f>
        <v>40658.82353</v>
      </c>
      <c r="D14" s="70">
        <f>'Rep capacity'!$B$13</f>
        <v>40658.82353</v>
      </c>
      <c r="E14" s="70">
        <f>'Rep capacity'!$B$13</f>
        <v>40658.82353</v>
      </c>
      <c r="F14" s="70">
        <f>'Rep capacity'!$B$13</f>
        <v>40658.82353</v>
      </c>
      <c r="G14" s="70">
        <f>'Rep capacity'!$B$13</f>
        <v>40658.82353</v>
      </c>
      <c r="H14" s="70">
        <f>'Rep capacity'!$B$13</f>
        <v>40658.82353</v>
      </c>
      <c r="I14" s="70">
        <f>'Rep capacity'!$B$13</f>
        <v>40658.82353</v>
      </c>
      <c r="J14" s="70">
        <f>'Rep capacity'!$B$13</f>
        <v>40658.82353</v>
      </c>
      <c r="K14" s="70">
        <f>'Rep capacity'!$B$13</f>
        <v>40658.82353</v>
      </c>
      <c r="L14" s="70">
        <f>'Rep capacity'!$B$13</f>
        <v>40658.82353</v>
      </c>
      <c r="M14" s="70">
        <f>'Rep capacity'!$B$13</f>
        <v>40658.82353</v>
      </c>
      <c r="N14" s="70">
        <f>'Rep capacity'!$B$13</f>
        <v>40658.82353</v>
      </c>
      <c r="O14" s="70">
        <f>'Rep capacity'!$B$13</f>
        <v>40658.82353</v>
      </c>
      <c r="P14" s="70">
        <f>'Rep capacity'!$B$13</f>
        <v>40658.82353</v>
      </c>
      <c r="Q14" s="70">
        <f>'Rep capacity'!$B$13</f>
        <v>40658.82353</v>
      </c>
      <c r="R14" s="70">
        <f>'Rep capacity'!$B$13</f>
        <v>40658.82353</v>
      </c>
      <c r="S14" s="70">
        <f>'Rep capacity'!$B$13</f>
        <v>40658.82353</v>
      </c>
      <c r="T14" s="70">
        <f>'Rep capacity'!$B$13</f>
        <v>40658.82353</v>
      </c>
      <c r="U14" s="70">
        <f>'Rep capacity'!$B$13</f>
        <v>40658.82353</v>
      </c>
      <c r="V14" s="70">
        <f>'Rep capacity'!$B$13</f>
        <v>40658.82353</v>
      </c>
      <c r="W14" s="70">
        <f>'Rep capacity'!$B$13</f>
        <v>40658.82353</v>
      </c>
      <c r="X14" s="70">
        <f>'Rep capacity'!$B$13</f>
        <v>40658.82353</v>
      </c>
      <c r="Y14" s="70">
        <f>'Rep capacity'!$B$13</f>
        <v>40658.82353</v>
      </c>
      <c r="Z14" s="71"/>
      <c r="AA14" s="71"/>
    </row>
    <row r="15" hidden="1" outlineLevel="1">
      <c r="A15" s="12" t="s">
        <v>352</v>
      </c>
      <c r="B15" s="71">
        <f>B13*B14*Inputs!$B$28</f>
        <v>67095.78414</v>
      </c>
      <c r="C15" s="71">
        <f>C13*C14*Inputs!$B$28</f>
        <v>65130.84852</v>
      </c>
      <c r="D15" s="71">
        <f>D13*D14*Inputs!$B$28</f>
        <v>128354.3056</v>
      </c>
      <c r="E15" s="71">
        <f>E13*E14*Inputs!$B$28</f>
        <v>187818.8387</v>
      </c>
      <c r="F15" s="71">
        <f>F13*F14*Inputs!$B$28</f>
        <v>182318.4644</v>
      </c>
      <c r="G15" s="71">
        <f>G13*G14*Inputs!$B$28</f>
        <v>209544.5958</v>
      </c>
      <c r="H15" s="71">
        <f>H13*H14*Inputs!$B$28</f>
        <v>235019.6997</v>
      </c>
      <c r="I15" s="71">
        <f>I13*I14*Inputs!$B$28</f>
        <v>228137.0231</v>
      </c>
      <c r="J15" s="71">
        <f>J13*J14*Inputs!$B$28</f>
        <v>221455.9094</v>
      </c>
      <c r="K15" s="71">
        <f>K13*K14*Inputs!$B$28</f>
        <v>214970.4556</v>
      </c>
      <c r="L15" s="71">
        <f>L13*L14*Inputs!$B$28</f>
        <v>208674.9318</v>
      </c>
      <c r="M15" s="71">
        <f>M13*M14*Inputs!$B$28</f>
        <v>202563.7758</v>
      </c>
      <c r="N15" s="71">
        <f>N13*N14*Inputs!$B$28</f>
        <v>196631.5882</v>
      </c>
      <c r="O15" s="71">
        <f>O13*O14*Inputs!$B$28</f>
        <v>190873.1278</v>
      </c>
      <c r="P15" s="71">
        <f>P13*P14*Inputs!$B$28</f>
        <v>217848.7313</v>
      </c>
      <c r="Q15" s="71">
        <f>Q13*Q14*Inputs!$B$28</f>
        <v>243080.6442</v>
      </c>
      <c r="R15" s="71">
        <f>R13*R14*Inputs!$B$28</f>
        <v>235961.8986</v>
      </c>
      <c r="S15" s="71">
        <f>S13*S14*Inputs!$B$28</f>
        <v>229051.6293</v>
      </c>
      <c r="T15" s="71">
        <f>T13*T14*Inputs!$B$28</f>
        <v>222343.7308</v>
      </c>
      <c r="U15" s="71">
        <f>U13*U14*Inputs!$B$28</f>
        <v>215832.2767</v>
      </c>
      <c r="V15" s="71">
        <f>V13*V14*Inputs!$B$28</f>
        <v>209511.514</v>
      </c>
      <c r="W15" s="71">
        <f>W13*W14*Inputs!$B$28</f>
        <v>203375.8582</v>
      </c>
      <c r="X15" s="71">
        <f>X13*X14*Inputs!$B$28</f>
        <v>197419.8883</v>
      </c>
      <c r="Y15" s="71">
        <f>Y13*Y14*Inputs!$B$28</f>
        <v>191638.3422</v>
      </c>
      <c r="Z15" s="71">
        <f t="shared" ref="Z15:Z16" si="5">SUM(B15:M15)</f>
        <v>2151084.633</v>
      </c>
      <c r="AA15" s="71">
        <f t="shared" ref="AA15:AA16" si="6">SUM(N15:Y15)</f>
        <v>2553569.23</v>
      </c>
    </row>
    <row r="16" hidden="1" outlineLevel="1">
      <c r="A16" s="38" t="s">
        <v>353</v>
      </c>
      <c r="B16" s="77">
        <f>SUMPRODUCT($B7:B7,((((B$2-$B$2:B$2)-Inputs!$B$30)&lt;Inputs!$B$32)*(Inputs!$B$33&gt;((((B$2-$B$2:B$2)-Inputs!$B$30)&gt;0)*((B$2-$B$2:B$2)-Inputs!$B$30)/MAX(Inputs!$B$32,1)))*(Inputs!$B$33-((((B$2-$B$2:B$2)-Inputs!$B$30)&gt;0)*((B$2-$B$2:B$2)-Inputs!$B$30)/MAX(Inputs!$B$32,1)))),((1-Inputs!$B$34)^(1/12))^(B$2-$B$2:B$2))*B14*Inputs!$B$28</f>
        <v>0</v>
      </c>
      <c r="C16" s="77">
        <f>SUMPRODUCT($B7:C7,((((C$2-$B$2:C$2)-Inputs!$B$30)&lt;Inputs!$B$32)*(Inputs!$B$33&gt;((((C$2-$B$2:C$2)-Inputs!$B$30)&gt;0)*((C$2-$B$2:C$2)-Inputs!$B$30)/MAX(Inputs!$B$32,1)))*(Inputs!$B$33-((((C$2-$B$2:C$2)-Inputs!$B$30)&gt;0)*((C$2-$B$2:C$2)-Inputs!$B$30)/MAX(Inputs!$B$32,1)))),((1-Inputs!$B$34)^(1/12))^(C$2-$B$2:C$2))*C14*Inputs!$B$28</f>
        <v>0</v>
      </c>
      <c r="D16" s="77">
        <f>SUMPRODUCT($B7:D7,((((D$2-$B$2:D$2)-Inputs!$B$30)&lt;Inputs!$B$32)*(Inputs!$B$33&gt;((((D$2-$B$2:D$2)-Inputs!$B$30)&gt;0)*((D$2-$B$2:D$2)-Inputs!$B$30)/MAX(Inputs!$B$32,1)))*(Inputs!$B$33-((((D$2-$B$2:D$2)-Inputs!$B$30)&gt;0)*((D$2-$B$2:D$2)-Inputs!$B$30)/MAX(Inputs!$B$32,1)))),((1-Inputs!$B$34)^(1/12))^(D$2-$B$2:D$2))*D14*Inputs!$B$28</f>
        <v>0</v>
      </c>
      <c r="E16" s="77">
        <f>SUMPRODUCT($B7:E7,((((E$2-$B$2:E$2)-Inputs!$B$30)&lt;Inputs!$B$32)*(Inputs!$B$33&gt;((((E$2-$B$2:E$2)-Inputs!$B$30)&gt;0)*((E$2-$B$2:E$2)-Inputs!$B$30)/MAX(Inputs!$B$32,1)))*(Inputs!$B$33-((((E$2-$B$2:E$2)-Inputs!$B$30)&gt;0)*((E$2-$B$2:E$2)-Inputs!$B$30)/MAX(Inputs!$B$32,1)))),((1-Inputs!$B$34)^(1/12))^(E$2-$B$2:E$2))*E14*Inputs!$B$28</f>
        <v>0</v>
      </c>
      <c r="F16" s="77">
        <f>SUMPRODUCT($B7:F7,((((F$2-$B$2:F$2)-Inputs!$B$30)&lt;Inputs!$B$32)*(Inputs!$B$33&gt;((((F$2-$B$2:F$2)-Inputs!$B$30)&gt;0)*((F$2-$B$2:F$2)-Inputs!$B$30)/MAX(Inputs!$B$32,1)))*(Inputs!$B$33-((((F$2-$B$2:F$2)-Inputs!$B$30)&gt;0)*((F$2-$B$2:F$2)-Inputs!$B$30)/MAX(Inputs!$B$32,1)))),((1-Inputs!$B$34)^(1/12))^(F$2-$B$2:F$2))*F14*Inputs!$B$28</f>
        <v>0</v>
      </c>
      <c r="G16" s="77">
        <f>SUMPRODUCT($B7:G7,((((G$2-$B$2:G$2)-Inputs!$B$30)&lt;Inputs!$B$32)*(Inputs!$B$33&gt;((((G$2-$B$2:G$2)-Inputs!$B$30)&gt;0)*((G$2-$B$2:G$2)-Inputs!$B$30)/MAX(Inputs!$B$32,1)))*(Inputs!$B$33-((((G$2-$B$2:G$2)-Inputs!$B$30)&gt;0)*((G$2-$B$2:G$2)-Inputs!$B$30)/MAX(Inputs!$B$32,1)))),((1-Inputs!$B$34)^(1/12))^(G$2-$B$2:G$2))*G14*Inputs!$B$28</f>
        <v>0</v>
      </c>
      <c r="H16" s="77">
        <f>SUMPRODUCT($B7:H7,((((H$2-$B$2:H$2)-Inputs!$B$30)&lt;Inputs!$B$32)*(Inputs!$B$33&gt;((((H$2-$B$2:H$2)-Inputs!$B$30)&gt;0)*((H$2-$B$2:H$2)-Inputs!$B$30)/MAX(Inputs!$B$32,1)))*(Inputs!$B$33-((((H$2-$B$2:H$2)-Inputs!$B$30)&gt;0)*((H$2-$B$2:H$2)-Inputs!$B$30)/MAX(Inputs!$B$32,1)))),((1-Inputs!$B$34)^(1/12))^(H$2-$B$2:H$2))*H14*Inputs!$B$28</f>
        <v>0</v>
      </c>
      <c r="I16" s="77">
        <f>SUMPRODUCT($B7:I7,((((I$2-$B$2:I$2)-Inputs!$B$30)&lt;Inputs!$B$32)*(Inputs!$B$33&gt;((((I$2-$B$2:I$2)-Inputs!$B$30)&gt;0)*((I$2-$B$2:I$2)-Inputs!$B$30)/MAX(Inputs!$B$32,1)))*(Inputs!$B$33-((((I$2-$B$2:I$2)-Inputs!$B$30)&gt;0)*((I$2-$B$2:I$2)-Inputs!$B$30)/MAX(Inputs!$B$32,1)))),((1-Inputs!$B$34)^(1/12))^(I$2-$B$2:I$2))*I14*Inputs!$B$28</f>
        <v>0</v>
      </c>
      <c r="J16" s="77">
        <f>SUMPRODUCT($B7:J7,((((J$2-$B$2:J$2)-Inputs!$B$30)&lt;Inputs!$B$32)*(Inputs!$B$33&gt;((((J$2-$B$2:J$2)-Inputs!$B$30)&gt;0)*((J$2-$B$2:J$2)-Inputs!$B$30)/MAX(Inputs!$B$32,1)))*(Inputs!$B$33-((((J$2-$B$2:J$2)-Inputs!$B$30)&gt;0)*((J$2-$B$2:J$2)-Inputs!$B$30)/MAX(Inputs!$B$32,1)))),((1-Inputs!$B$34)^(1/12))^(J$2-$B$2:J$2))*J14*Inputs!$B$28</f>
        <v>0</v>
      </c>
      <c r="K16" s="77">
        <f>SUMPRODUCT($B7:K7,((((K$2-$B$2:K$2)-Inputs!$B$30)&lt;Inputs!$B$32)*(Inputs!$B$33&gt;((((K$2-$B$2:K$2)-Inputs!$B$30)&gt;0)*((K$2-$B$2:K$2)-Inputs!$B$30)/MAX(Inputs!$B$32,1)))*(Inputs!$B$33-((((K$2-$B$2:K$2)-Inputs!$B$30)&gt;0)*((K$2-$B$2:K$2)-Inputs!$B$30)/MAX(Inputs!$B$32,1)))),((1-Inputs!$B$34)^(1/12))^(K$2-$B$2:K$2))*K14*Inputs!$B$28</f>
        <v>0</v>
      </c>
      <c r="L16" s="77">
        <f>SUMPRODUCT($B7:L7,((((L$2-$B$2:L$2)-Inputs!$B$30)&lt;Inputs!$B$32)*(Inputs!$B$33&gt;((((L$2-$B$2:L$2)-Inputs!$B$30)&gt;0)*((L$2-$B$2:L$2)-Inputs!$B$30)/MAX(Inputs!$B$32,1)))*(Inputs!$B$33-((((L$2-$B$2:L$2)-Inputs!$B$30)&gt;0)*((L$2-$B$2:L$2)-Inputs!$B$30)/MAX(Inputs!$B$32,1)))),((1-Inputs!$B$34)^(1/12))^(L$2-$B$2:L$2))*L14*Inputs!$B$28</f>
        <v>0</v>
      </c>
      <c r="M16" s="77">
        <f>SUMPRODUCT($B7:M7,((((M$2-$B$2:M$2)-Inputs!$B$30)&lt;Inputs!$B$32)*(Inputs!$B$33&gt;((((M$2-$B$2:M$2)-Inputs!$B$30)&gt;0)*((M$2-$B$2:M$2)-Inputs!$B$30)/MAX(Inputs!$B$32,1)))*(Inputs!$B$33-((((M$2-$B$2:M$2)-Inputs!$B$30)&gt;0)*((M$2-$B$2:M$2)-Inputs!$B$30)/MAX(Inputs!$B$32,1)))),((1-Inputs!$B$34)^(1/12))^(M$2-$B$2:M$2))*M14*Inputs!$B$28</f>
        <v>0</v>
      </c>
      <c r="N16" s="77">
        <f>SUMPRODUCT($B7:N7,((((N$2-$B$2:N$2)-Inputs!$B$30)&lt;Inputs!$B$32)*(Inputs!$B$33&gt;((((N$2-$B$2:N$2)-Inputs!$B$30)&gt;0)*((N$2-$B$2:N$2)-Inputs!$B$30)/MAX(Inputs!$B$32,1)))*(Inputs!$B$33-((((N$2-$B$2:N$2)-Inputs!$B$30)&gt;0)*((N$2-$B$2:N$2)-Inputs!$B$30)/MAX(Inputs!$B$32,1)))),((1-Inputs!$B$34)^(1/12))^(N$2-$B$2:N$2))*N14*Inputs!$B$28</f>
        <v>0</v>
      </c>
      <c r="O16" s="77">
        <f>SUMPRODUCT($B7:O7,((((O$2-$B$2:O$2)-Inputs!$B$30)&lt;Inputs!$B$32)*(Inputs!$B$33&gt;((((O$2-$B$2:O$2)-Inputs!$B$30)&gt;0)*((O$2-$B$2:O$2)-Inputs!$B$30)/MAX(Inputs!$B$32,1)))*(Inputs!$B$33-((((O$2-$B$2:O$2)-Inputs!$B$30)&gt;0)*((O$2-$B$2:O$2)-Inputs!$B$30)/MAX(Inputs!$B$32,1)))),((1-Inputs!$B$34)^(1/12))^(O$2-$B$2:O$2))*O14*Inputs!$B$28</f>
        <v>0</v>
      </c>
      <c r="P16" s="77">
        <f>SUMPRODUCT($B7:P7,((((P$2-$B$2:P$2)-Inputs!$B$30)&lt;Inputs!$B$32)*(Inputs!$B$33&gt;((((P$2-$B$2:P$2)-Inputs!$B$30)&gt;0)*((P$2-$B$2:P$2)-Inputs!$B$30)/MAX(Inputs!$B$32,1)))*(Inputs!$B$33-((((P$2-$B$2:P$2)-Inputs!$B$30)&gt;0)*((P$2-$B$2:P$2)-Inputs!$B$30)/MAX(Inputs!$B$32,1)))),((1-Inputs!$B$34)^(1/12))^(P$2-$B$2:P$2))*P14*Inputs!$B$28</f>
        <v>0</v>
      </c>
      <c r="Q16" s="77">
        <f>SUMPRODUCT($B7:Q7,((((Q$2-$B$2:Q$2)-Inputs!$B$30)&lt;Inputs!$B$32)*(Inputs!$B$33&gt;((((Q$2-$B$2:Q$2)-Inputs!$B$30)&gt;0)*((Q$2-$B$2:Q$2)-Inputs!$B$30)/MAX(Inputs!$B$32,1)))*(Inputs!$B$33-((((Q$2-$B$2:Q$2)-Inputs!$B$30)&gt;0)*((Q$2-$B$2:Q$2)-Inputs!$B$30)/MAX(Inputs!$B$32,1)))),((1-Inputs!$B$34)^(1/12))^(Q$2-$B$2:Q$2))*Q14*Inputs!$B$28</f>
        <v>0</v>
      </c>
      <c r="R16" s="77">
        <f>SUMPRODUCT($B7:R7,((((R$2-$B$2:R$2)-Inputs!$B$30)&lt;Inputs!$B$32)*(Inputs!$B$33&gt;((((R$2-$B$2:R$2)-Inputs!$B$30)&gt;0)*((R$2-$B$2:R$2)-Inputs!$B$30)/MAX(Inputs!$B$32,1)))*(Inputs!$B$33-((((R$2-$B$2:R$2)-Inputs!$B$30)&gt;0)*((R$2-$B$2:R$2)-Inputs!$B$30)/MAX(Inputs!$B$32,1)))),((1-Inputs!$B$34)^(1/12))^(R$2-$B$2:R$2))*R14*Inputs!$B$28</f>
        <v>0</v>
      </c>
      <c r="S16" s="77">
        <f>SUMPRODUCT($B7:S7,((((S$2-$B$2:S$2)-Inputs!$B$30)&lt;Inputs!$B$32)*(Inputs!$B$33&gt;((((S$2-$B$2:S$2)-Inputs!$B$30)&gt;0)*((S$2-$B$2:S$2)-Inputs!$B$30)/MAX(Inputs!$B$32,1)))*(Inputs!$B$33-((((S$2-$B$2:S$2)-Inputs!$B$30)&gt;0)*((S$2-$B$2:S$2)-Inputs!$B$30)/MAX(Inputs!$B$32,1)))),((1-Inputs!$B$34)^(1/12))^(S$2-$B$2:S$2))*S14*Inputs!$B$28</f>
        <v>0</v>
      </c>
      <c r="T16" s="77">
        <f>SUMPRODUCT($B7:T7,((((T$2-$B$2:T$2)-Inputs!$B$30)&lt;Inputs!$B$32)*(Inputs!$B$33&gt;((((T$2-$B$2:T$2)-Inputs!$B$30)&gt;0)*((T$2-$B$2:T$2)-Inputs!$B$30)/MAX(Inputs!$B$32,1)))*(Inputs!$B$33-((((T$2-$B$2:T$2)-Inputs!$B$30)&gt;0)*((T$2-$B$2:T$2)-Inputs!$B$30)/MAX(Inputs!$B$32,1)))),((1-Inputs!$B$34)^(1/12))^(T$2-$B$2:T$2))*T14*Inputs!$B$28</f>
        <v>0</v>
      </c>
      <c r="U16" s="77">
        <f>SUMPRODUCT($B7:U7,((((U$2-$B$2:U$2)-Inputs!$B$30)&lt;Inputs!$B$32)*(Inputs!$B$33&gt;((((U$2-$B$2:U$2)-Inputs!$B$30)&gt;0)*((U$2-$B$2:U$2)-Inputs!$B$30)/MAX(Inputs!$B$32,1)))*(Inputs!$B$33-((((U$2-$B$2:U$2)-Inputs!$B$30)&gt;0)*((U$2-$B$2:U$2)-Inputs!$B$30)/MAX(Inputs!$B$32,1)))),((1-Inputs!$B$34)^(1/12))^(U$2-$B$2:U$2))*U14*Inputs!$B$28</f>
        <v>0</v>
      </c>
      <c r="V16" s="77">
        <f>SUMPRODUCT($B7:V7,((((V$2-$B$2:V$2)-Inputs!$B$30)&lt;Inputs!$B$32)*(Inputs!$B$33&gt;((((V$2-$B$2:V$2)-Inputs!$B$30)&gt;0)*((V$2-$B$2:V$2)-Inputs!$B$30)/MAX(Inputs!$B$32,1)))*(Inputs!$B$33-((((V$2-$B$2:V$2)-Inputs!$B$30)&gt;0)*((V$2-$B$2:V$2)-Inputs!$B$30)/MAX(Inputs!$B$32,1)))),((1-Inputs!$B$34)^(1/12))^(V$2-$B$2:V$2))*V14*Inputs!$B$28</f>
        <v>0</v>
      </c>
      <c r="W16" s="77">
        <f>SUMPRODUCT($B7:W7,((((W$2-$B$2:W$2)-Inputs!$B$30)&lt;Inputs!$B$32)*(Inputs!$B$33&gt;((((W$2-$B$2:W$2)-Inputs!$B$30)&gt;0)*((W$2-$B$2:W$2)-Inputs!$B$30)/MAX(Inputs!$B$32,1)))*(Inputs!$B$33-((((W$2-$B$2:W$2)-Inputs!$B$30)&gt;0)*((W$2-$B$2:W$2)-Inputs!$B$30)/MAX(Inputs!$B$32,1)))),((1-Inputs!$B$34)^(1/12))^(W$2-$B$2:W$2))*W14*Inputs!$B$28</f>
        <v>0</v>
      </c>
      <c r="X16" s="77">
        <f>SUMPRODUCT($B7:X7,((((X$2-$B$2:X$2)-Inputs!$B$30)&lt;Inputs!$B$32)*(Inputs!$B$33&gt;((((X$2-$B$2:X$2)-Inputs!$B$30)&gt;0)*((X$2-$B$2:X$2)-Inputs!$B$30)/MAX(Inputs!$B$32,1)))*(Inputs!$B$33-((((X$2-$B$2:X$2)-Inputs!$B$30)&gt;0)*((X$2-$B$2:X$2)-Inputs!$B$30)/MAX(Inputs!$B$32,1)))),((1-Inputs!$B$34)^(1/12))^(X$2-$B$2:X$2))*X14*Inputs!$B$28</f>
        <v>0</v>
      </c>
      <c r="Y16" s="77">
        <f>SUMPRODUCT($B7:Y7,((((Y$2-$B$2:Y$2)-Inputs!$B$30)&lt;Inputs!$B$32)*(Inputs!$B$33&gt;((((Y$2-$B$2:Y$2)-Inputs!$B$30)&gt;0)*((Y$2-$B$2:Y$2)-Inputs!$B$30)/MAX(Inputs!$B$32,1)))*(Inputs!$B$33-((((Y$2-$B$2:Y$2)-Inputs!$B$30)&gt;0)*((Y$2-$B$2:Y$2)-Inputs!$B$30)/MAX(Inputs!$B$32,1)))),((1-Inputs!$B$34)^(1/12))^(Y$2-$B$2:Y$2))*Y14*Inputs!$B$28</f>
        <v>0</v>
      </c>
      <c r="Z16" s="78">
        <f t="shared" si="5"/>
        <v>0</v>
      </c>
      <c r="AA16" s="78">
        <f t="shared" si="6"/>
        <v>0</v>
      </c>
    </row>
    <row r="17" hidden="1" outlineLevel="1">
      <c r="A17" s="79" t="s">
        <v>354</v>
      </c>
      <c r="B17" s="80"/>
      <c r="C17" s="80"/>
      <c r="D17" s="80"/>
      <c r="E17" s="80"/>
      <c r="F17" s="80"/>
      <c r="G17" s="80"/>
      <c r="H17" s="80"/>
      <c r="I17" s="80"/>
      <c r="J17" s="80"/>
      <c r="K17" s="80"/>
      <c r="L17" s="80"/>
      <c r="M17" s="80"/>
      <c r="N17" s="80"/>
      <c r="O17" s="80"/>
      <c r="P17" s="80"/>
      <c r="Q17" s="80"/>
      <c r="R17" s="80"/>
      <c r="S17" s="80"/>
      <c r="T17" s="80"/>
      <c r="U17" s="80"/>
      <c r="V17" s="80"/>
      <c r="W17" s="80"/>
      <c r="X17" s="80"/>
      <c r="Y17" s="80"/>
      <c r="Z17" s="80"/>
      <c r="AA17" s="80"/>
    </row>
    <row r="18" hidden="1" outlineLevel="1">
      <c r="A18" s="6" t="s">
        <v>355</v>
      </c>
      <c r="B18" s="73">
        <f>Inputs!J$67</f>
        <v>4</v>
      </c>
      <c r="C18" s="73">
        <f>Inputs!K$67</f>
        <v>0</v>
      </c>
      <c r="D18" s="73">
        <f>Inputs!L$67</f>
        <v>0</v>
      </c>
      <c r="E18" s="73">
        <f>Inputs!M$67</f>
        <v>2</v>
      </c>
      <c r="F18" s="73">
        <f>Inputs!N$67</f>
        <v>0</v>
      </c>
      <c r="G18" s="73">
        <f>Inputs!O$67</f>
        <v>0</v>
      </c>
      <c r="H18" s="73">
        <f>Inputs!P$67</f>
        <v>0</v>
      </c>
      <c r="I18" s="73">
        <f>Inputs!Q$67</f>
        <v>0</v>
      </c>
      <c r="J18" s="73">
        <f>Inputs!R$67</f>
        <v>0</v>
      </c>
      <c r="K18" s="73">
        <f>Inputs!S$67</f>
        <v>0</v>
      </c>
      <c r="L18" s="73">
        <f>Inputs!T$67</f>
        <v>0</v>
      </c>
      <c r="M18" s="73">
        <f>Inputs!U$67</f>
        <v>0</v>
      </c>
      <c r="N18" s="73">
        <f>Inputs!V$67</f>
        <v>2</v>
      </c>
      <c r="O18" s="73">
        <f>Inputs!W$67</f>
        <v>0</v>
      </c>
      <c r="P18" s="73">
        <f>Inputs!X$67</f>
        <v>0</v>
      </c>
      <c r="Q18" s="73">
        <f>Inputs!Y$67</f>
        <v>0</v>
      </c>
      <c r="R18" s="73">
        <f>Inputs!Z$67</f>
        <v>0</v>
      </c>
      <c r="S18" s="73">
        <f>Inputs!AA$67</f>
        <v>0</v>
      </c>
      <c r="T18" s="73">
        <f>Inputs!AB$67</f>
        <v>0</v>
      </c>
      <c r="U18" s="73">
        <f>Inputs!AC$67</f>
        <v>0</v>
      </c>
      <c r="V18" s="73">
        <f>Inputs!AD$67</f>
        <v>0</v>
      </c>
      <c r="W18" s="73">
        <f>Inputs!AE$67</f>
        <v>0</v>
      </c>
      <c r="X18" s="73">
        <f>Inputs!AF$67</f>
        <v>0</v>
      </c>
      <c r="Y18" s="73">
        <f>Inputs!AG$67</f>
        <v>0</v>
      </c>
      <c r="Z18" s="72">
        <f>SUM(B18:M18)</f>
        <v>6</v>
      </c>
      <c r="AA18" s="72">
        <f>SUM(N18:Y18)</f>
        <v>2</v>
      </c>
    </row>
    <row r="19" hidden="1" outlineLevel="1">
      <c r="A19" s="6" t="s">
        <v>345</v>
      </c>
      <c r="B19" s="75">
        <f>IF(B$2=1,Inputs!$B$31,A21)</f>
        <v>2</v>
      </c>
      <c r="C19" s="75">
        <f>IF(C$2=1,Inputs!$B$31,B21)</f>
        <v>5.941428939</v>
      </c>
      <c r="D19" s="75">
        <f>IF(D$2=1,Inputs!$B$31,C21)</f>
        <v>5.767431042</v>
      </c>
      <c r="E19" s="75">
        <f>IF(E$2=1,Inputs!$B$31,D21)</f>
        <v>5.598528765</v>
      </c>
      <c r="F19" s="75">
        <f>IF(F$2=1,Inputs!$B$31,E21)</f>
        <v>7.43457288</v>
      </c>
      <c r="G19" s="75">
        <f>IF(G$2=1,Inputs!$B$31,F21)</f>
        <v>7.21684747</v>
      </c>
      <c r="H19" s="75">
        <f>IF(H$2=1,Inputs!$B$31,G21)</f>
        <v>7.005498265</v>
      </c>
      <c r="I19" s="75">
        <f>IF(I$2=1,Inputs!$B$31,H21)</f>
        <v>6.800338532</v>
      </c>
      <c r="J19" s="75">
        <f>IF(J$2=1,Inputs!$B$31,I21)</f>
        <v>6.601187012</v>
      </c>
      <c r="K19" s="75">
        <f>IF(K$2=1,Inputs!$B$31,J21)</f>
        <v>6.407867749</v>
      </c>
      <c r="L19" s="75">
        <f>IF(L$2=1,Inputs!$B$31,K21)</f>
        <v>6.220209943</v>
      </c>
      <c r="M19" s="75">
        <f>IF(M$2=1,Inputs!$B$31,L21)</f>
        <v>6.038047796</v>
      </c>
      <c r="N19" s="75">
        <f>IF(N$2=1,Inputs!$B$31,M21)</f>
        <v>5.861220364</v>
      </c>
      <c r="O19" s="75">
        <f>IF(O$2=1,Inputs!$B$31,N21)</f>
        <v>7.689571417</v>
      </c>
      <c r="P19" s="75">
        <f>IF(P$2=1,Inputs!$B$31,O21)</f>
        <v>7.46437824</v>
      </c>
      <c r="Q19" s="75">
        <f>IF(Q$2=1,Inputs!$B$31,P21)</f>
        <v>7.245779964</v>
      </c>
      <c r="R19" s="75">
        <f>IF(R$2=1,Inputs!$B$31,Q21)</f>
        <v>7.033583455</v>
      </c>
      <c r="S19" s="75">
        <f>IF(S$2=1,Inputs!$B$31,R21)</f>
        <v>6.827601233</v>
      </c>
      <c r="T19" s="75">
        <f>IF(T$2=1,Inputs!$B$31,S21)</f>
        <v>6.62765131</v>
      </c>
      <c r="U19" s="75">
        <f>IF(U$2=1,Inputs!$B$31,T21)</f>
        <v>6.433557026</v>
      </c>
      <c r="V19" s="75">
        <f>IF(V$2=1,Inputs!$B$31,U21)</f>
        <v>6.245146896</v>
      </c>
      <c r="W19" s="75">
        <f>IF(W$2=1,Inputs!$B$31,V21)</f>
        <v>6.062254457</v>
      </c>
      <c r="X19" s="75">
        <f>IF(X$2=1,Inputs!$B$31,W21)</f>
        <v>5.88471812</v>
      </c>
      <c r="Y19" s="75">
        <f>IF(Y$2=1,Inputs!$B$31,X21)</f>
        <v>5.712381029</v>
      </c>
      <c r="Z19" s="76"/>
      <c r="AA19" s="76"/>
    </row>
    <row r="20" hidden="1" outlineLevel="1">
      <c r="A20" s="6" t="s">
        <v>356</v>
      </c>
      <c r="B20" s="75">
        <f>B19*(1-((1-Inputs!$E$34)^(1/12)))</f>
        <v>0.05857106075</v>
      </c>
      <c r="C20" s="75">
        <f>C19*(1-((1-Inputs!$E$34)^(1/12)))</f>
        <v>0.1739978977</v>
      </c>
      <c r="D20" s="75">
        <f>D19*(1-((1-Inputs!$E$34)^(1/12)))</f>
        <v>0.168902277</v>
      </c>
      <c r="E20" s="75">
        <f>E19*(1-((1-Inputs!$E$34)^(1/12)))</f>
        <v>0.1639558842</v>
      </c>
      <c r="F20" s="75">
        <f>F19*(1-((1-Inputs!$E$34)^(1/12)))</f>
        <v>0.2177254099</v>
      </c>
      <c r="G20" s="75">
        <f>G19*(1-((1-Inputs!$E$34)^(1/12)))</f>
        <v>0.2113492058</v>
      </c>
      <c r="H20" s="75">
        <f>H19*(1-((1-Inputs!$E$34)^(1/12)))</f>
        <v>0.2051597322</v>
      </c>
      <c r="I20" s="75">
        <f>I19*(1-((1-Inputs!$E$34)^(1/12)))</f>
        <v>0.1991515207</v>
      </c>
      <c r="J20" s="75">
        <f>J19*(1-((1-Inputs!$E$34)^(1/12)))</f>
        <v>0.1933192628</v>
      </c>
      <c r="K20" s="75">
        <f>K19*(1-((1-Inputs!$E$34)^(1/12)))</f>
        <v>0.1876578056</v>
      </c>
      <c r="L20" s="75">
        <f>L19*(1-((1-Inputs!$E$34)^(1/12)))</f>
        <v>0.1821621472</v>
      </c>
      <c r="M20" s="75">
        <f>M19*(1-((1-Inputs!$E$34)^(1/12)))</f>
        <v>0.1768274322</v>
      </c>
      <c r="N20" s="75">
        <f>N19*(1-((1-Inputs!$E$34)^(1/12)))</f>
        <v>0.171648947</v>
      </c>
      <c r="O20" s="75">
        <f>O19*(1-((1-Inputs!$E$34)^(1/12)))</f>
        <v>0.2251931773</v>
      </c>
      <c r="P20" s="75">
        <f>P19*(1-((1-Inputs!$E$34)^(1/12)))</f>
        <v>0.2185982757</v>
      </c>
      <c r="Q20" s="75">
        <f>Q19*(1-((1-Inputs!$E$34)^(1/12)))</f>
        <v>0.2121965092</v>
      </c>
      <c r="R20" s="75">
        <f>R19*(1-((1-Inputs!$E$34)^(1/12)))</f>
        <v>0.2059822219</v>
      </c>
      <c r="S20" s="75">
        <f>S19*(1-((1-Inputs!$E$34)^(1/12)))</f>
        <v>0.1999499233</v>
      </c>
      <c r="T20" s="75">
        <f>T19*(1-((1-Inputs!$E$34)^(1/12)))</f>
        <v>0.1940942838</v>
      </c>
      <c r="U20" s="75">
        <f>U19*(1-((1-Inputs!$E$34)^(1/12)))</f>
        <v>0.1884101297</v>
      </c>
      <c r="V20" s="75">
        <f>V19*(1-((1-Inputs!$E$34)^(1/12)))</f>
        <v>0.1828924391</v>
      </c>
      <c r="W20" s="75">
        <f>W19*(1-((1-Inputs!$E$34)^(1/12)))</f>
        <v>0.177536337</v>
      </c>
      <c r="X20" s="75">
        <f>X19*(1-((1-Inputs!$E$34)^(1/12)))</f>
        <v>0.1723370913</v>
      </c>
      <c r="Y20" s="75">
        <f>Y19*(1-((1-Inputs!$E$34)^(1/12)))</f>
        <v>0.1672901081</v>
      </c>
      <c r="Z20" s="76">
        <f>SUM(B20:M20)</f>
        <v>2.138779636</v>
      </c>
      <c r="AA20" s="76">
        <f>SUM(N20:Y20)</f>
        <v>2.316129444</v>
      </c>
    </row>
    <row r="21" hidden="1" outlineLevel="1">
      <c r="A21" s="6" t="s">
        <v>347</v>
      </c>
      <c r="B21" s="75">
        <f t="shared" ref="B21:Y21" si="7">B19+B18-B20</f>
        <v>5.941428939</v>
      </c>
      <c r="C21" s="75">
        <f t="shared" si="7"/>
        <v>5.767431042</v>
      </c>
      <c r="D21" s="75">
        <f t="shared" si="7"/>
        <v>5.598528765</v>
      </c>
      <c r="E21" s="75">
        <f t="shared" si="7"/>
        <v>7.43457288</v>
      </c>
      <c r="F21" s="75">
        <f t="shared" si="7"/>
        <v>7.21684747</v>
      </c>
      <c r="G21" s="75">
        <f t="shared" si="7"/>
        <v>7.005498265</v>
      </c>
      <c r="H21" s="75">
        <f t="shared" si="7"/>
        <v>6.800338532</v>
      </c>
      <c r="I21" s="75">
        <f t="shared" si="7"/>
        <v>6.601187012</v>
      </c>
      <c r="J21" s="75">
        <f t="shared" si="7"/>
        <v>6.407867749</v>
      </c>
      <c r="K21" s="75">
        <f t="shared" si="7"/>
        <v>6.220209943</v>
      </c>
      <c r="L21" s="75">
        <f t="shared" si="7"/>
        <v>6.038047796</v>
      </c>
      <c r="M21" s="75">
        <f t="shared" si="7"/>
        <v>5.861220364</v>
      </c>
      <c r="N21" s="75">
        <f t="shared" si="7"/>
        <v>7.689571417</v>
      </c>
      <c r="O21" s="75">
        <f t="shared" si="7"/>
        <v>7.46437824</v>
      </c>
      <c r="P21" s="75">
        <f t="shared" si="7"/>
        <v>7.245779964</v>
      </c>
      <c r="Q21" s="75">
        <f t="shared" si="7"/>
        <v>7.033583455</v>
      </c>
      <c r="R21" s="75">
        <f t="shared" si="7"/>
        <v>6.827601233</v>
      </c>
      <c r="S21" s="75">
        <f t="shared" si="7"/>
        <v>6.62765131</v>
      </c>
      <c r="T21" s="75">
        <f t="shared" si="7"/>
        <v>6.433557026</v>
      </c>
      <c r="U21" s="75">
        <f t="shared" si="7"/>
        <v>6.245146896</v>
      </c>
      <c r="V21" s="75">
        <f t="shared" si="7"/>
        <v>6.062254457</v>
      </c>
      <c r="W21" s="75">
        <f t="shared" si="7"/>
        <v>5.88471812</v>
      </c>
      <c r="X21" s="75">
        <f t="shared" si="7"/>
        <v>5.712381029</v>
      </c>
      <c r="Y21" s="75">
        <f t="shared" si="7"/>
        <v>5.54509092</v>
      </c>
      <c r="Z21" s="76">
        <f>M21</f>
        <v>5.861220364</v>
      </c>
      <c r="AA21" s="76">
        <f>Y21</f>
        <v>5.54509092</v>
      </c>
    </row>
    <row r="22" hidden="1" outlineLevel="1">
      <c r="A22" s="6" t="s">
        <v>357</v>
      </c>
      <c r="B22" s="75">
        <f>SUMPRODUCT($B18:B18,(((B$2-$B$2:B$2)&gt;=Inputs!$E$32)+((B$2-$B$2:B$2)&lt;Inputs!$E$32)*(B$2-$B$2:B$2)/MAX(Inputs!$E$32,1)),((1-Inputs!$E$34)^(1/12))^(B$2-$B$2:B$2))</f>
        <v>0</v>
      </c>
      <c r="C22" s="75">
        <f>SUMPRODUCT($B18:C18,(((C$2-$B$2:C$2)&gt;=Inputs!$E$32)+((C$2-$B$2:C$2)&lt;Inputs!$E$32)*(C$2-$B$2:C$2)/MAX(Inputs!$E$32,1)),((1-Inputs!$E$34)^(1/12))^(C$2-$B$2:C$2))</f>
        <v>1.941428939</v>
      </c>
      <c r="D22" s="75">
        <f>SUMPRODUCT($B18:D18,(((D$2-$B$2:D$2)&gt;=Inputs!$E$32)+((D$2-$B$2:D$2)&lt;Inputs!$E$32)*(D$2-$B$2:D$2)/MAX(Inputs!$E$32,1)),((1-Inputs!$E$34)^(1/12))^(D$2-$B$2:D$2))</f>
        <v>3.769146326</v>
      </c>
      <c r="E22" s="75">
        <f>SUMPRODUCT($B18:E18,(((E$2-$B$2:E$2)&gt;=Inputs!$E$32)+((E$2-$B$2:E$2)&lt;Inputs!$E$32)*(E$2-$B$2:E$2)/MAX(Inputs!$E$32,1)),((1-Inputs!$E$34)^(1/12))^(E$2-$B$2:E$2))</f>
        <v>3.658764877</v>
      </c>
      <c r="F22" s="75">
        <f>SUMPRODUCT($B18:F18,(((F$2-$B$2:F$2)&gt;=Inputs!$E$32)+((F$2-$B$2:F$2)&lt;Inputs!$E$32)*(F$2-$B$2:F$2)/MAX(Inputs!$E$32,1)),((1-Inputs!$E$34)^(1/12))^(F$2-$B$2:F$2))</f>
        <v>4.522330477</v>
      </c>
      <c r="G22" s="75">
        <f>SUMPRODUCT($B18:G18,(((G$2-$B$2:G$2)&gt;=Inputs!$E$32)+((G$2-$B$2:G$2)&lt;Inputs!$E$32)*(G$2-$B$2:G$2)/MAX(Inputs!$E$32,1)),((1-Inputs!$E$34)^(1/12))^(G$2-$B$2:G$2))</f>
        <v>5.332178212</v>
      </c>
      <c r="H22" s="75">
        <f>SUMPRODUCT($B18:H18,(((H$2-$B$2:H$2)&gt;=Inputs!$E$32)+((H$2-$B$2:H$2)&lt;Inputs!$E$32)*(H$2-$B$2:H$2)/MAX(Inputs!$E$32,1)),((1-Inputs!$E$34)^(1/12))^(H$2-$B$2:H$2))</f>
        <v>5.176022545</v>
      </c>
      <c r="I22" s="75">
        <f>SUMPRODUCT($B18:I18,(((I$2-$B$2:I$2)&gt;=Inputs!$E$32)+((I$2-$B$2:I$2)&lt;Inputs!$E$32)*(I$2-$B$2:I$2)/MAX(Inputs!$E$32,1)),((1-Inputs!$E$34)^(1/12))^(I$2-$B$2:I$2))</f>
        <v>5.024439979</v>
      </c>
      <c r="J22" s="75">
        <f>SUMPRODUCT($B18:J18,(((J$2-$B$2:J$2)&gt;=Inputs!$E$32)+((J$2-$B$2:J$2)&lt;Inputs!$E$32)*(J$2-$B$2:J$2)/MAX(Inputs!$E$32,1)),((1-Inputs!$E$34)^(1/12))^(J$2-$B$2:J$2))</f>
        <v>4.877296589</v>
      </c>
      <c r="K22" s="75">
        <f>SUMPRODUCT($B18:K18,(((K$2-$B$2:K$2)&gt;=Inputs!$E$32)+((K$2-$B$2:K$2)&lt;Inputs!$E$32)*(K$2-$B$2:K$2)/MAX(Inputs!$E$32,1)),((1-Inputs!$E$34)^(1/12))^(K$2-$B$2:K$2))</f>
        <v>4.734462372</v>
      </c>
      <c r="L22" s="75">
        <f>SUMPRODUCT($B18:L18,(((L$2-$B$2:L$2)&gt;=Inputs!$E$32)+((L$2-$B$2:L$2)&lt;Inputs!$E$32)*(L$2-$B$2:L$2)/MAX(Inputs!$E$32,1)),((1-Inputs!$E$34)^(1/12))^(L$2-$B$2:L$2))</f>
        <v>4.59581113</v>
      </c>
      <c r="M22" s="75">
        <f>SUMPRODUCT($B18:M18,(((M$2-$B$2:M$2)&gt;=Inputs!$E$32)+((M$2-$B$2:M$2)&lt;Inputs!$E$32)*(M$2-$B$2:M$2)/MAX(Inputs!$E$32,1)),((1-Inputs!$E$34)^(1/12))^(M$2-$B$2:M$2))</f>
        <v>4.461220364</v>
      </c>
      <c r="N22" s="75">
        <f>SUMPRODUCT($B18:N18,(((N$2-$B$2:N$2)&gt;=Inputs!$E$32)+((N$2-$B$2:N$2)&lt;Inputs!$E$32)*(N$2-$B$2:N$2)/MAX(Inputs!$E$32,1)),((1-Inputs!$E$34)^(1/12))^(N$2-$B$2:N$2))</f>
        <v>4.33057116</v>
      </c>
      <c r="O22" s="75">
        <f>SUMPRODUCT($B18:O18,(((O$2-$B$2:O$2)&gt;=Inputs!$E$32)+((O$2-$B$2:O$2)&lt;Inputs!$E$32)*(O$2-$B$2:O$2)/MAX(Inputs!$E$32,1)),((1-Inputs!$E$34)^(1/12))^(O$2-$B$2:O$2))</f>
        <v>5.174462556</v>
      </c>
      <c r="P22" s="75">
        <f>SUMPRODUCT($B18:P18,(((P$2-$B$2:P$2)&gt;=Inputs!$E$32)+((P$2-$B$2:P$2)&lt;Inputs!$E$32)*(P$2-$B$2:P$2)/MAX(Inputs!$E$32,1)),((1-Inputs!$E$34)^(1/12))^(P$2-$B$2:P$2))</f>
        <v>5.965212257</v>
      </c>
      <c r="Q22" s="75">
        <f>SUMPRODUCT($B18:Q18,(((Q$2-$B$2:Q$2)&gt;=Inputs!$E$32)+((Q$2-$B$2:Q$2)&lt;Inputs!$E$32)*(Q$2-$B$2:Q$2)/MAX(Inputs!$E$32,1)),((1-Inputs!$E$34)^(1/12))^(Q$2-$B$2:Q$2))</f>
        <v>5.790517852</v>
      </c>
      <c r="R22" s="75">
        <f>SUMPRODUCT($B18:R18,(((R$2-$B$2:R$2)&gt;=Inputs!$E$32)+((R$2-$B$2:R$2)&lt;Inputs!$E$32)*(R$2-$B$2:R$2)/MAX(Inputs!$E$32,1)),((1-Inputs!$E$34)^(1/12))^(R$2-$B$2:R$2))</f>
        <v>5.620939466</v>
      </c>
      <c r="S22" s="75">
        <f>SUMPRODUCT($B18:S18,(((S$2-$B$2:S$2)&gt;=Inputs!$E$32)+((S$2-$B$2:S$2)&lt;Inputs!$E$32)*(S$2-$B$2:S$2)/MAX(Inputs!$E$32,1)),((1-Inputs!$E$34)^(1/12))^(S$2-$B$2:S$2))</f>
        <v>5.456327272</v>
      </c>
      <c r="T22" s="75">
        <f>SUMPRODUCT($B18:T18,(((T$2-$B$2:T$2)&gt;=Inputs!$E$32)+((T$2-$B$2:T$2)&lt;Inputs!$E$32)*(T$2-$B$2:T$2)/MAX(Inputs!$E$32,1)),((1-Inputs!$E$34)^(1/12))^(T$2-$B$2:T$2))</f>
        <v>5.296535834</v>
      </c>
      <c r="U22" s="75">
        <f>SUMPRODUCT($B18:U18,(((U$2-$B$2:U$2)&gt;=Inputs!$E$32)+((U$2-$B$2:U$2)&lt;Inputs!$E$32)*(U$2-$B$2:U$2)/MAX(Inputs!$E$32,1)),((1-Inputs!$E$34)^(1/12))^(U$2-$B$2:U$2))</f>
        <v>5.141423973</v>
      </c>
      <c r="V22" s="75">
        <f>SUMPRODUCT($B18:V18,(((V$2-$B$2:V$2)&gt;=Inputs!$E$32)+((V$2-$B$2:V$2)&lt;Inputs!$E$32)*(V$2-$B$2:V$2)/MAX(Inputs!$E$32,1)),((1-Inputs!$E$34)^(1/12))^(V$2-$B$2:V$2))</f>
        <v>4.990854645</v>
      </c>
      <c r="W22" s="75">
        <f>SUMPRODUCT($B18:W18,(((W$2-$B$2:W$2)&gt;=Inputs!$E$32)+((W$2-$B$2:W$2)&lt;Inputs!$E$32)*(W$2-$B$2:W$2)/MAX(Inputs!$E$32,1)),((1-Inputs!$E$34)^(1/12))^(W$2-$B$2:W$2))</f>
        <v>4.84469482</v>
      </c>
      <c r="X22" s="75">
        <f>SUMPRODUCT($B18:X18,(((X$2-$B$2:X$2)&gt;=Inputs!$E$32)+((X$2-$B$2:X$2)&lt;Inputs!$E$32)*(X$2-$B$2:X$2)/MAX(Inputs!$E$32,1)),((1-Inputs!$E$34)^(1/12))^(X$2-$B$2:X$2))</f>
        <v>4.702815363</v>
      </c>
      <c r="Y22" s="75">
        <f>SUMPRODUCT($B18:Y18,(((Y$2-$B$2:Y$2)&gt;=Inputs!$E$32)+((Y$2-$B$2:Y$2)&lt;Inputs!$E$32)*(Y$2-$B$2:Y$2)/MAX(Inputs!$E$32,1)),((1-Inputs!$E$34)^(1/12))^(Y$2-$B$2:Y$2))</f>
        <v>4.56509092</v>
      </c>
      <c r="Z22" s="76"/>
      <c r="AA22" s="76"/>
    </row>
    <row r="23" hidden="1" outlineLevel="1">
      <c r="A23" s="12" t="s">
        <v>358</v>
      </c>
      <c r="B23" s="76">
        <f>Inputs!$B$31*((1-Inputs!$E$34)^(1/12))^B$2+B22</f>
        <v>1.941428939</v>
      </c>
      <c r="C23" s="76">
        <f>Inputs!$B$31*((1-Inputs!$E$34)^(1/12))^C$2+C22</f>
        <v>3.826002102</v>
      </c>
      <c r="D23" s="76">
        <f>Inputs!$B$31*((1-Inputs!$E$34)^(1/12))^D$2+D22</f>
        <v>5.598528765</v>
      </c>
      <c r="E23" s="76">
        <f>Inputs!$B$31*((1-Inputs!$E$34)^(1/12))^E$2+E22</f>
        <v>5.43457288</v>
      </c>
      <c r="F23" s="76">
        <f>Inputs!$B$31*((1-Inputs!$E$34)^(1/12))^F$2+F22</f>
        <v>6.246133001</v>
      </c>
      <c r="G23" s="76">
        <f>Inputs!$B$31*((1-Inputs!$E$34)^(1/12))^G$2+G22</f>
        <v>7.005498265</v>
      </c>
      <c r="H23" s="76">
        <f>Inputs!$B$31*((1-Inputs!$E$34)^(1/12))^H$2+H22</f>
        <v>6.800338532</v>
      </c>
      <c r="I23" s="76">
        <f>Inputs!$B$31*((1-Inputs!$E$34)^(1/12))^I$2+I22</f>
        <v>6.601187012</v>
      </c>
      <c r="J23" s="76">
        <f>Inputs!$B$31*((1-Inputs!$E$34)^(1/12))^J$2+J22</f>
        <v>6.407867749</v>
      </c>
      <c r="K23" s="76">
        <f>Inputs!$B$31*((1-Inputs!$E$34)^(1/12))^K$2+K22</f>
        <v>6.220209943</v>
      </c>
      <c r="L23" s="76">
        <f>Inputs!$B$31*((1-Inputs!$E$34)^(1/12))^L$2+L22</f>
        <v>6.038047796</v>
      </c>
      <c r="M23" s="76">
        <f>Inputs!$B$31*((1-Inputs!$E$34)^(1/12))^M$2+M22</f>
        <v>5.861220364</v>
      </c>
      <c r="N23" s="76">
        <f>Inputs!$B$31*((1-Inputs!$E$34)^(1/12))^N$2+N22</f>
        <v>5.689571417</v>
      </c>
      <c r="O23" s="76">
        <f>Inputs!$B$31*((1-Inputs!$E$34)^(1/12))^O$2+O22</f>
        <v>6.49366377</v>
      </c>
      <c r="P23" s="76">
        <f>Inputs!$B$31*((1-Inputs!$E$34)^(1/12))^P$2+P22</f>
        <v>7.245779964</v>
      </c>
      <c r="Q23" s="76">
        <f>Inputs!$B$31*((1-Inputs!$E$34)^(1/12))^Q$2+Q22</f>
        <v>7.033583455</v>
      </c>
      <c r="R23" s="76">
        <f>Inputs!$B$31*((1-Inputs!$E$34)^(1/12))^R$2+R22</f>
        <v>6.827601233</v>
      </c>
      <c r="S23" s="76">
        <f>Inputs!$B$31*((1-Inputs!$E$34)^(1/12))^S$2+S22</f>
        <v>6.62765131</v>
      </c>
      <c r="T23" s="76">
        <f>Inputs!$B$31*((1-Inputs!$E$34)^(1/12))^T$2+T22</f>
        <v>6.433557026</v>
      </c>
      <c r="U23" s="76">
        <f>Inputs!$B$31*((1-Inputs!$E$34)^(1/12))^U$2+U22</f>
        <v>6.245146896</v>
      </c>
      <c r="V23" s="76">
        <f>Inputs!$B$31*((1-Inputs!$E$34)^(1/12))^V$2+V22</f>
        <v>6.062254457</v>
      </c>
      <c r="W23" s="76">
        <f>Inputs!$B$31*((1-Inputs!$E$34)^(1/12))^W$2+W22</f>
        <v>5.88471812</v>
      </c>
      <c r="X23" s="76">
        <f>Inputs!$B$31*((1-Inputs!$E$34)^(1/12))^X$2+X22</f>
        <v>5.712381029</v>
      </c>
      <c r="Y23" s="76">
        <f>Inputs!$B$31*((1-Inputs!$E$34)^(1/12))^Y$2+Y22</f>
        <v>5.54509092</v>
      </c>
      <c r="Z23" s="76">
        <f>M23</f>
        <v>5.861220364</v>
      </c>
      <c r="AA23" s="76">
        <f>Y23</f>
        <v>5.54509092</v>
      </c>
    </row>
    <row r="24" hidden="1" outlineLevel="1">
      <c r="A24" s="6" t="s">
        <v>359</v>
      </c>
      <c r="B24" s="75">
        <f>SUMPRODUCT($B18:B18,((((B$2-$B$2:B$2)-Inputs!$E$30)&gt;=Inputs!$E$32)+(((B$2-$B$2:B$2)-Inputs!$E$30)&lt;Inputs!$E$32)*((((B$2-$B$2:B$2)-Inputs!$E$30)/MAX(Inputs!$E$32,1)&gt;Inputs!$E$33)*((B$2-$B$2:B$2)-Inputs!$E$30)/MAX(Inputs!$E$32,1)+(((B$2-$B$2:B$2)-Inputs!$E$30)/MAX(Inputs!$E$32,1)&lt;=Inputs!$E$33)*Inputs!$E$33)),((1-Inputs!$E$34)^(1/12))^(B$2-$B$2:B$2))</f>
        <v>0</v>
      </c>
      <c r="C24" s="75">
        <f>SUMPRODUCT($B18:C18,((((C$2-$B$2:C$2)-Inputs!$E$30)&gt;=Inputs!$E$32)+(((C$2-$B$2:C$2)-Inputs!$E$30)&lt;Inputs!$E$32)*((((C$2-$B$2:C$2)-Inputs!$E$30)/MAX(Inputs!$E$32,1)&gt;Inputs!$E$33)*((C$2-$B$2:C$2)-Inputs!$E$30)/MAX(Inputs!$E$32,1)+(((C$2-$B$2:C$2)-Inputs!$E$30)/MAX(Inputs!$E$32,1)&lt;=Inputs!$E$33)*Inputs!$E$33)),((1-Inputs!$E$34)^(1/12))^(C$2-$B$2:C$2))</f>
        <v>0</v>
      </c>
      <c r="D24" s="75">
        <f>SUMPRODUCT($B18:D18,((((D$2-$B$2:D$2)-Inputs!$E$30)&gt;=Inputs!$E$32)+(((D$2-$B$2:D$2)-Inputs!$E$30)&lt;Inputs!$E$32)*((((D$2-$B$2:D$2)-Inputs!$E$30)/MAX(Inputs!$E$32,1)&gt;Inputs!$E$33)*((D$2-$B$2:D$2)-Inputs!$E$30)/MAX(Inputs!$E$32,1)+(((D$2-$B$2:D$2)-Inputs!$E$30)/MAX(Inputs!$E$32,1)&lt;=Inputs!$E$33)*Inputs!$E$33)),((1-Inputs!$E$34)^(1/12))^(D$2-$B$2:D$2))</f>
        <v>1.884573163</v>
      </c>
      <c r="E24" s="75">
        <f>SUMPRODUCT($B18:E18,((((E$2-$B$2:E$2)-Inputs!$E$30)&gt;=Inputs!$E$32)+(((E$2-$B$2:E$2)-Inputs!$E$30)&lt;Inputs!$E$32)*((((E$2-$B$2:E$2)-Inputs!$E$30)/MAX(Inputs!$E$32,1)&gt;Inputs!$E$33)*((E$2-$B$2:E$2)-Inputs!$E$30)/MAX(Inputs!$E$32,1)+(((E$2-$B$2:E$2)-Inputs!$E$30)/MAX(Inputs!$E$32,1)&lt;=Inputs!$E$33)*Inputs!$E$33)),((1-Inputs!$E$34)^(1/12))^(E$2-$B$2:E$2))</f>
        <v>3.658764877</v>
      </c>
      <c r="F24" s="75">
        <f>SUMPRODUCT($B18:F18,((((F$2-$B$2:F$2)-Inputs!$E$30)&gt;=Inputs!$E$32)+(((F$2-$B$2:F$2)-Inputs!$E$30)&lt;Inputs!$E$32)*((((F$2-$B$2:F$2)-Inputs!$E$30)/MAX(Inputs!$E$32,1)&gt;Inputs!$E$33)*((F$2-$B$2:F$2)-Inputs!$E$30)/MAX(Inputs!$E$32,1)+(((F$2-$B$2:F$2)-Inputs!$E$30)/MAX(Inputs!$E$32,1)&lt;=Inputs!$E$33)*Inputs!$E$33)),((1-Inputs!$E$34)^(1/12))^(F$2-$B$2:F$2))</f>
        <v>3.551616007</v>
      </c>
      <c r="G24" s="75">
        <f>SUMPRODUCT($B18:G18,((((G$2-$B$2:G$2)-Inputs!$E$30)&gt;=Inputs!$E$32)+(((G$2-$B$2:G$2)-Inputs!$E$30)&lt;Inputs!$E$32)*((((G$2-$B$2:G$2)-Inputs!$E$30)/MAX(Inputs!$E$32,1)&gt;Inputs!$E$33)*((G$2-$B$2:G$2)-Inputs!$E$30)/MAX(Inputs!$E$32,1)+(((G$2-$B$2:G$2)-Inputs!$E$30)/MAX(Inputs!$E$32,1)&lt;=Inputs!$E$33)*Inputs!$E$33)),((1-Inputs!$E$34)^(1/12))^(G$2-$B$2:G$2))</f>
        <v>4.38989163</v>
      </c>
      <c r="H24" s="75">
        <f>SUMPRODUCT($B18:H18,((((H$2-$B$2:H$2)-Inputs!$E$30)&gt;=Inputs!$E$32)+(((H$2-$B$2:H$2)-Inputs!$E$30)&lt;Inputs!$E$32)*((((H$2-$B$2:H$2)-Inputs!$E$30)/MAX(Inputs!$E$32,1)&gt;Inputs!$E$33)*((H$2-$B$2:H$2)-Inputs!$E$30)/MAX(Inputs!$E$32,1)+(((H$2-$B$2:H$2)-Inputs!$E$30)/MAX(Inputs!$E$32,1)&lt;=Inputs!$E$33)*Inputs!$E$33)),((1-Inputs!$E$34)^(1/12))^(H$2-$B$2:H$2))</f>
        <v>5.176022545</v>
      </c>
      <c r="I24" s="75">
        <f>SUMPRODUCT($B18:I18,((((I$2-$B$2:I$2)-Inputs!$E$30)&gt;=Inputs!$E$32)+(((I$2-$B$2:I$2)-Inputs!$E$30)&lt;Inputs!$E$32)*((((I$2-$B$2:I$2)-Inputs!$E$30)/MAX(Inputs!$E$32,1)&gt;Inputs!$E$33)*((I$2-$B$2:I$2)-Inputs!$E$30)/MAX(Inputs!$E$32,1)+(((I$2-$B$2:I$2)-Inputs!$E$30)/MAX(Inputs!$E$32,1)&lt;=Inputs!$E$33)*Inputs!$E$33)),((1-Inputs!$E$34)^(1/12))^(I$2-$B$2:I$2))</f>
        <v>5.024439979</v>
      </c>
      <c r="J24" s="75">
        <f>SUMPRODUCT($B18:J18,((((J$2-$B$2:J$2)-Inputs!$E$30)&gt;=Inputs!$E$32)+(((J$2-$B$2:J$2)-Inputs!$E$30)&lt;Inputs!$E$32)*((((J$2-$B$2:J$2)-Inputs!$E$30)/MAX(Inputs!$E$32,1)&gt;Inputs!$E$33)*((J$2-$B$2:J$2)-Inputs!$E$30)/MAX(Inputs!$E$32,1)+(((J$2-$B$2:J$2)-Inputs!$E$30)/MAX(Inputs!$E$32,1)&lt;=Inputs!$E$33)*Inputs!$E$33)),((1-Inputs!$E$34)^(1/12))^(J$2-$B$2:J$2))</f>
        <v>4.877296589</v>
      </c>
      <c r="K24" s="75">
        <f>SUMPRODUCT($B18:K18,((((K$2-$B$2:K$2)-Inputs!$E$30)&gt;=Inputs!$E$32)+(((K$2-$B$2:K$2)-Inputs!$E$30)&lt;Inputs!$E$32)*((((K$2-$B$2:K$2)-Inputs!$E$30)/MAX(Inputs!$E$32,1)&gt;Inputs!$E$33)*((K$2-$B$2:K$2)-Inputs!$E$30)/MAX(Inputs!$E$32,1)+(((K$2-$B$2:K$2)-Inputs!$E$30)/MAX(Inputs!$E$32,1)&lt;=Inputs!$E$33)*Inputs!$E$33)),((1-Inputs!$E$34)^(1/12))^(K$2-$B$2:K$2))</f>
        <v>4.734462372</v>
      </c>
      <c r="L24" s="75">
        <f>SUMPRODUCT($B18:L18,((((L$2-$B$2:L$2)-Inputs!$E$30)&gt;=Inputs!$E$32)+(((L$2-$B$2:L$2)-Inputs!$E$30)&lt;Inputs!$E$32)*((((L$2-$B$2:L$2)-Inputs!$E$30)/MAX(Inputs!$E$32,1)&gt;Inputs!$E$33)*((L$2-$B$2:L$2)-Inputs!$E$30)/MAX(Inputs!$E$32,1)+(((L$2-$B$2:L$2)-Inputs!$E$30)/MAX(Inputs!$E$32,1)&lt;=Inputs!$E$33)*Inputs!$E$33)),((1-Inputs!$E$34)^(1/12))^(L$2-$B$2:L$2))</f>
        <v>4.59581113</v>
      </c>
      <c r="M24" s="75">
        <f>SUMPRODUCT($B18:M18,((((M$2-$B$2:M$2)-Inputs!$E$30)&gt;=Inputs!$E$32)+(((M$2-$B$2:M$2)-Inputs!$E$30)&lt;Inputs!$E$32)*((((M$2-$B$2:M$2)-Inputs!$E$30)/MAX(Inputs!$E$32,1)&gt;Inputs!$E$33)*((M$2-$B$2:M$2)-Inputs!$E$30)/MAX(Inputs!$E$32,1)+(((M$2-$B$2:M$2)-Inputs!$E$30)/MAX(Inputs!$E$32,1)&lt;=Inputs!$E$33)*Inputs!$E$33)),((1-Inputs!$E$34)^(1/12))^(M$2-$B$2:M$2))</f>
        <v>4.461220364</v>
      </c>
      <c r="N24" s="75">
        <f>SUMPRODUCT($B18:N18,((((N$2-$B$2:N$2)-Inputs!$E$30)&gt;=Inputs!$E$32)+(((N$2-$B$2:N$2)-Inputs!$E$30)&lt;Inputs!$E$32)*((((N$2-$B$2:N$2)-Inputs!$E$30)/MAX(Inputs!$E$32,1)&gt;Inputs!$E$33)*((N$2-$B$2:N$2)-Inputs!$E$30)/MAX(Inputs!$E$32,1)+(((N$2-$B$2:N$2)-Inputs!$E$30)/MAX(Inputs!$E$32,1)&lt;=Inputs!$E$33)*Inputs!$E$33)),((1-Inputs!$E$34)^(1/12))^(N$2-$B$2:N$2))</f>
        <v>4.33057116</v>
      </c>
      <c r="O24" s="75">
        <f>SUMPRODUCT($B18:O18,((((O$2-$B$2:O$2)-Inputs!$E$30)&gt;=Inputs!$E$32)+(((O$2-$B$2:O$2)-Inputs!$E$30)&lt;Inputs!$E$32)*((((O$2-$B$2:O$2)-Inputs!$E$30)/MAX(Inputs!$E$32,1)&gt;Inputs!$E$33)*((O$2-$B$2:O$2)-Inputs!$E$30)/MAX(Inputs!$E$32,1)+(((O$2-$B$2:O$2)-Inputs!$E$30)/MAX(Inputs!$E$32,1)&lt;=Inputs!$E$33)*Inputs!$E$33)),((1-Inputs!$E$34)^(1/12))^(O$2-$B$2:O$2))</f>
        <v>4.203748086</v>
      </c>
      <c r="P24" s="75">
        <f>SUMPRODUCT($B18:P18,((((P$2-$B$2:P$2)-Inputs!$E$30)&gt;=Inputs!$E$32)+(((P$2-$B$2:P$2)-Inputs!$E$30)&lt;Inputs!$E$32)*((((P$2-$B$2:P$2)-Inputs!$E$30)/MAX(Inputs!$E$32,1)&gt;Inputs!$E$33)*((P$2-$B$2:P$2)-Inputs!$E$30)/MAX(Inputs!$E$32,1)+(((P$2-$B$2:P$2)-Inputs!$E$30)/MAX(Inputs!$E$32,1)&lt;=Inputs!$E$33)*Inputs!$E$33)),((1-Inputs!$E$34)^(1/12))^(P$2-$B$2:P$2))</f>
        <v>5.022925676</v>
      </c>
      <c r="Q24" s="75">
        <f>SUMPRODUCT($B18:Q18,((((Q$2-$B$2:Q$2)-Inputs!$E$30)&gt;=Inputs!$E$32)+(((Q$2-$B$2:Q$2)-Inputs!$E$30)&lt;Inputs!$E$32)*((((Q$2-$B$2:Q$2)-Inputs!$E$30)/MAX(Inputs!$E$32,1)&gt;Inputs!$E$33)*((Q$2-$B$2:Q$2)-Inputs!$E$30)/MAX(Inputs!$E$32,1)+(((Q$2-$B$2:Q$2)-Inputs!$E$30)/MAX(Inputs!$E$32,1)&lt;=Inputs!$E$33)*Inputs!$E$33)),((1-Inputs!$E$34)^(1/12))^(Q$2-$B$2:Q$2))</f>
        <v>5.790517852</v>
      </c>
      <c r="R24" s="75">
        <f>SUMPRODUCT($B18:R18,((((R$2-$B$2:R$2)-Inputs!$E$30)&gt;=Inputs!$E$32)+(((R$2-$B$2:R$2)-Inputs!$E$30)&lt;Inputs!$E$32)*((((R$2-$B$2:R$2)-Inputs!$E$30)/MAX(Inputs!$E$32,1)&gt;Inputs!$E$33)*((R$2-$B$2:R$2)-Inputs!$E$30)/MAX(Inputs!$E$32,1)+(((R$2-$B$2:R$2)-Inputs!$E$30)/MAX(Inputs!$E$32,1)&lt;=Inputs!$E$33)*Inputs!$E$33)),((1-Inputs!$E$34)^(1/12))^(R$2-$B$2:R$2))</f>
        <v>5.620939466</v>
      </c>
      <c r="S24" s="75">
        <f>SUMPRODUCT($B18:S18,((((S$2-$B$2:S$2)-Inputs!$E$30)&gt;=Inputs!$E$32)+(((S$2-$B$2:S$2)-Inputs!$E$30)&lt;Inputs!$E$32)*((((S$2-$B$2:S$2)-Inputs!$E$30)/MAX(Inputs!$E$32,1)&gt;Inputs!$E$33)*((S$2-$B$2:S$2)-Inputs!$E$30)/MAX(Inputs!$E$32,1)+(((S$2-$B$2:S$2)-Inputs!$E$30)/MAX(Inputs!$E$32,1)&lt;=Inputs!$E$33)*Inputs!$E$33)),((1-Inputs!$E$34)^(1/12))^(S$2-$B$2:S$2))</f>
        <v>5.456327272</v>
      </c>
      <c r="T24" s="75">
        <f>SUMPRODUCT($B18:T18,((((T$2-$B$2:T$2)-Inputs!$E$30)&gt;=Inputs!$E$32)+(((T$2-$B$2:T$2)-Inputs!$E$30)&lt;Inputs!$E$32)*((((T$2-$B$2:T$2)-Inputs!$E$30)/MAX(Inputs!$E$32,1)&gt;Inputs!$E$33)*((T$2-$B$2:T$2)-Inputs!$E$30)/MAX(Inputs!$E$32,1)+(((T$2-$B$2:T$2)-Inputs!$E$30)/MAX(Inputs!$E$32,1)&lt;=Inputs!$E$33)*Inputs!$E$33)),((1-Inputs!$E$34)^(1/12))^(T$2-$B$2:T$2))</f>
        <v>5.296535834</v>
      </c>
      <c r="U24" s="75">
        <f>SUMPRODUCT($B18:U18,((((U$2-$B$2:U$2)-Inputs!$E$30)&gt;=Inputs!$E$32)+(((U$2-$B$2:U$2)-Inputs!$E$30)&lt;Inputs!$E$32)*((((U$2-$B$2:U$2)-Inputs!$E$30)/MAX(Inputs!$E$32,1)&gt;Inputs!$E$33)*((U$2-$B$2:U$2)-Inputs!$E$30)/MAX(Inputs!$E$32,1)+(((U$2-$B$2:U$2)-Inputs!$E$30)/MAX(Inputs!$E$32,1)&lt;=Inputs!$E$33)*Inputs!$E$33)),((1-Inputs!$E$34)^(1/12))^(U$2-$B$2:U$2))</f>
        <v>5.141423973</v>
      </c>
      <c r="V24" s="75">
        <f>SUMPRODUCT($B18:V18,((((V$2-$B$2:V$2)-Inputs!$E$30)&gt;=Inputs!$E$32)+(((V$2-$B$2:V$2)-Inputs!$E$30)&lt;Inputs!$E$32)*((((V$2-$B$2:V$2)-Inputs!$E$30)/MAX(Inputs!$E$32,1)&gt;Inputs!$E$33)*((V$2-$B$2:V$2)-Inputs!$E$30)/MAX(Inputs!$E$32,1)+(((V$2-$B$2:V$2)-Inputs!$E$30)/MAX(Inputs!$E$32,1)&lt;=Inputs!$E$33)*Inputs!$E$33)),((1-Inputs!$E$34)^(1/12))^(V$2-$B$2:V$2))</f>
        <v>4.990854645</v>
      </c>
      <c r="W24" s="75">
        <f>SUMPRODUCT($B18:W18,((((W$2-$B$2:W$2)-Inputs!$E$30)&gt;=Inputs!$E$32)+(((W$2-$B$2:W$2)-Inputs!$E$30)&lt;Inputs!$E$32)*((((W$2-$B$2:W$2)-Inputs!$E$30)/MAX(Inputs!$E$32,1)&gt;Inputs!$E$33)*((W$2-$B$2:W$2)-Inputs!$E$30)/MAX(Inputs!$E$32,1)+(((W$2-$B$2:W$2)-Inputs!$E$30)/MAX(Inputs!$E$32,1)&lt;=Inputs!$E$33)*Inputs!$E$33)),((1-Inputs!$E$34)^(1/12))^(W$2-$B$2:W$2))</f>
        <v>4.84469482</v>
      </c>
      <c r="X24" s="75">
        <f>SUMPRODUCT($B18:X18,((((X$2-$B$2:X$2)-Inputs!$E$30)&gt;=Inputs!$E$32)+(((X$2-$B$2:X$2)-Inputs!$E$30)&lt;Inputs!$E$32)*((((X$2-$B$2:X$2)-Inputs!$E$30)/MAX(Inputs!$E$32,1)&gt;Inputs!$E$33)*((X$2-$B$2:X$2)-Inputs!$E$30)/MAX(Inputs!$E$32,1)+(((X$2-$B$2:X$2)-Inputs!$E$30)/MAX(Inputs!$E$32,1)&lt;=Inputs!$E$33)*Inputs!$E$33)),((1-Inputs!$E$34)^(1/12))^(X$2-$B$2:X$2))</f>
        <v>4.702815363</v>
      </c>
      <c r="Y24" s="75">
        <f>SUMPRODUCT($B18:Y18,((((Y$2-$B$2:Y$2)-Inputs!$E$30)&gt;=Inputs!$E$32)+(((Y$2-$B$2:Y$2)-Inputs!$E$30)&lt;Inputs!$E$32)*((((Y$2-$B$2:Y$2)-Inputs!$E$30)/MAX(Inputs!$E$32,1)&gt;Inputs!$E$33)*((Y$2-$B$2:Y$2)-Inputs!$E$30)/MAX(Inputs!$E$32,1)+(((Y$2-$B$2:Y$2)-Inputs!$E$30)/MAX(Inputs!$E$32,1)&lt;=Inputs!$E$33)*Inputs!$E$33)),((1-Inputs!$E$34)^(1/12))^(Y$2-$B$2:Y$2))</f>
        <v>4.56509092</v>
      </c>
      <c r="Z24" s="76"/>
      <c r="AA24" s="76"/>
    </row>
    <row r="25" hidden="1" outlineLevel="1">
      <c r="A25" s="6" t="s">
        <v>350</v>
      </c>
      <c r="B25" s="75">
        <f>Inputs!$B$31*((1-Inputs!$E$34)^(1/12))^B$2+B24</f>
        <v>1.941428939</v>
      </c>
      <c r="C25" s="75">
        <f>Inputs!$B$31*((1-Inputs!$E$34)^(1/12))^C$2+C24</f>
        <v>1.884573163</v>
      </c>
      <c r="D25" s="75">
        <f>Inputs!$B$31*((1-Inputs!$E$34)^(1/12))^D$2+D24</f>
        <v>3.713955602</v>
      </c>
      <c r="E25" s="75">
        <f>Inputs!$B$31*((1-Inputs!$E$34)^(1/12))^E$2+E24</f>
        <v>5.43457288</v>
      </c>
      <c r="F25" s="75">
        <f>Inputs!$B$31*((1-Inputs!$E$34)^(1/12))^F$2+F24</f>
        <v>5.275418531</v>
      </c>
      <c r="G25" s="75">
        <f>Inputs!$B$31*((1-Inputs!$E$34)^(1/12))^G$2+G24</f>
        <v>6.063211683</v>
      </c>
      <c r="H25" s="75">
        <f>Inputs!$B$31*((1-Inputs!$E$34)^(1/12))^H$2+H24</f>
        <v>6.800338532</v>
      </c>
      <c r="I25" s="75">
        <f>Inputs!$B$31*((1-Inputs!$E$34)^(1/12))^I$2+I24</f>
        <v>6.601187012</v>
      </c>
      <c r="J25" s="75">
        <f>Inputs!$B$31*((1-Inputs!$E$34)^(1/12))^J$2+J24</f>
        <v>6.407867749</v>
      </c>
      <c r="K25" s="75">
        <f>Inputs!$B$31*((1-Inputs!$E$34)^(1/12))^K$2+K24</f>
        <v>6.220209943</v>
      </c>
      <c r="L25" s="75">
        <f>Inputs!$B$31*((1-Inputs!$E$34)^(1/12))^L$2+L24</f>
        <v>6.038047796</v>
      </c>
      <c r="M25" s="75">
        <f>Inputs!$B$31*((1-Inputs!$E$34)^(1/12))^M$2+M24</f>
        <v>5.861220364</v>
      </c>
      <c r="N25" s="75">
        <f>Inputs!$B$31*((1-Inputs!$E$34)^(1/12))^N$2+N24</f>
        <v>5.689571417</v>
      </c>
      <c r="O25" s="75">
        <f>Inputs!$B$31*((1-Inputs!$E$34)^(1/12))^O$2+O24</f>
        <v>5.5229493</v>
      </c>
      <c r="P25" s="75">
        <f>Inputs!$B$31*((1-Inputs!$E$34)^(1/12))^P$2+P24</f>
        <v>6.303493382</v>
      </c>
      <c r="Q25" s="75">
        <f>Inputs!$B$31*((1-Inputs!$E$34)^(1/12))^Q$2+Q24</f>
        <v>7.033583455</v>
      </c>
      <c r="R25" s="75">
        <f>Inputs!$B$31*((1-Inputs!$E$34)^(1/12))^R$2+R24</f>
        <v>6.827601233</v>
      </c>
      <c r="S25" s="75">
        <f>Inputs!$B$31*((1-Inputs!$E$34)^(1/12))^S$2+S24</f>
        <v>6.62765131</v>
      </c>
      <c r="T25" s="75">
        <f>Inputs!$B$31*((1-Inputs!$E$34)^(1/12))^T$2+T24</f>
        <v>6.433557026</v>
      </c>
      <c r="U25" s="75">
        <f>Inputs!$B$31*((1-Inputs!$E$34)^(1/12))^U$2+U24</f>
        <v>6.245146896</v>
      </c>
      <c r="V25" s="75">
        <f>Inputs!$B$31*((1-Inputs!$E$34)^(1/12))^V$2+V24</f>
        <v>6.062254457</v>
      </c>
      <c r="W25" s="75">
        <f>Inputs!$B$31*((1-Inputs!$E$34)^(1/12))^W$2+W24</f>
        <v>5.88471812</v>
      </c>
      <c r="X25" s="75">
        <f>Inputs!$B$31*((1-Inputs!$E$34)^(1/12))^X$2+X24</f>
        <v>5.712381029</v>
      </c>
      <c r="Y25" s="75">
        <f>Inputs!$B$31*((1-Inputs!$E$34)^(1/12))^Y$2+Y24</f>
        <v>5.54509092</v>
      </c>
      <c r="Z25" s="76">
        <f>M25</f>
        <v>5.861220364</v>
      </c>
      <c r="AA25" s="76">
        <f>Y25</f>
        <v>5.54509092</v>
      </c>
    </row>
    <row r="26" hidden="1" outlineLevel="1">
      <c r="A26" s="6" t="s">
        <v>360</v>
      </c>
      <c r="B26" s="70">
        <f>'Rep capacity'!$B$31</f>
        <v>34560</v>
      </c>
      <c r="C26" s="70">
        <f>'Rep capacity'!$B$31</f>
        <v>34560</v>
      </c>
      <c r="D26" s="70">
        <f>'Rep capacity'!$B$31</f>
        <v>34560</v>
      </c>
      <c r="E26" s="70">
        <f>'Rep capacity'!$B$31</f>
        <v>34560</v>
      </c>
      <c r="F26" s="70">
        <f>'Rep capacity'!$B$31</f>
        <v>34560</v>
      </c>
      <c r="G26" s="70">
        <f>'Rep capacity'!$B$31</f>
        <v>34560</v>
      </c>
      <c r="H26" s="70">
        <f>'Rep capacity'!$B$31</f>
        <v>34560</v>
      </c>
      <c r="I26" s="70">
        <f>'Rep capacity'!$B$31</f>
        <v>34560</v>
      </c>
      <c r="J26" s="70">
        <f>'Rep capacity'!$B$31</f>
        <v>34560</v>
      </c>
      <c r="K26" s="70">
        <f>'Rep capacity'!$B$31</f>
        <v>34560</v>
      </c>
      <c r="L26" s="70">
        <f>'Rep capacity'!$B$31</f>
        <v>34560</v>
      </c>
      <c r="M26" s="70">
        <f>'Rep capacity'!$B$31</f>
        <v>34560</v>
      </c>
      <c r="N26" s="70">
        <f>'Rep capacity'!$B$31</f>
        <v>34560</v>
      </c>
      <c r="O26" s="70">
        <f>'Rep capacity'!$B$31</f>
        <v>34560</v>
      </c>
      <c r="P26" s="70">
        <f>'Rep capacity'!$B$31</f>
        <v>34560</v>
      </c>
      <c r="Q26" s="70">
        <f>'Rep capacity'!$B$31</f>
        <v>34560</v>
      </c>
      <c r="R26" s="70">
        <f>'Rep capacity'!$B$31</f>
        <v>34560</v>
      </c>
      <c r="S26" s="70">
        <f>'Rep capacity'!$B$31</f>
        <v>34560</v>
      </c>
      <c r="T26" s="70">
        <f>'Rep capacity'!$B$31</f>
        <v>34560</v>
      </c>
      <c r="U26" s="70">
        <f>'Rep capacity'!$B$31</f>
        <v>34560</v>
      </c>
      <c r="V26" s="70">
        <f>'Rep capacity'!$B$31</f>
        <v>34560</v>
      </c>
      <c r="W26" s="70">
        <f>'Rep capacity'!$B$31</f>
        <v>34560</v>
      </c>
      <c r="X26" s="70">
        <f>'Rep capacity'!$B$31</f>
        <v>34560</v>
      </c>
      <c r="Y26" s="70">
        <f>'Rep capacity'!$B$31</f>
        <v>34560</v>
      </c>
      <c r="Z26" s="71"/>
      <c r="AA26" s="71"/>
    </row>
    <row r="27" hidden="1" outlineLevel="1">
      <c r="A27" s="12" t="s">
        <v>361</v>
      </c>
      <c r="B27" s="71">
        <f t="shared" ref="B27:Y27" si="8">B25*B26</f>
        <v>67095.78414</v>
      </c>
      <c r="C27" s="71">
        <f t="shared" si="8"/>
        <v>65130.84852</v>
      </c>
      <c r="D27" s="71">
        <f t="shared" si="8"/>
        <v>128354.3056</v>
      </c>
      <c r="E27" s="71">
        <f t="shared" si="8"/>
        <v>187818.8387</v>
      </c>
      <c r="F27" s="71">
        <f t="shared" si="8"/>
        <v>182318.4644</v>
      </c>
      <c r="G27" s="71">
        <f t="shared" si="8"/>
        <v>209544.5958</v>
      </c>
      <c r="H27" s="71">
        <f t="shared" si="8"/>
        <v>235019.6997</v>
      </c>
      <c r="I27" s="71">
        <f t="shared" si="8"/>
        <v>228137.0231</v>
      </c>
      <c r="J27" s="71">
        <f t="shared" si="8"/>
        <v>221455.9094</v>
      </c>
      <c r="K27" s="71">
        <f t="shared" si="8"/>
        <v>214970.4556</v>
      </c>
      <c r="L27" s="71">
        <f t="shared" si="8"/>
        <v>208674.9318</v>
      </c>
      <c r="M27" s="71">
        <f t="shared" si="8"/>
        <v>202563.7758</v>
      </c>
      <c r="N27" s="71">
        <f t="shared" si="8"/>
        <v>196631.5882</v>
      </c>
      <c r="O27" s="71">
        <f t="shared" si="8"/>
        <v>190873.1278</v>
      </c>
      <c r="P27" s="71">
        <f t="shared" si="8"/>
        <v>217848.7313</v>
      </c>
      <c r="Q27" s="71">
        <f t="shared" si="8"/>
        <v>243080.6442</v>
      </c>
      <c r="R27" s="71">
        <f t="shared" si="8"/>
        <v>235961.8986</v>
      </c>
      <c r="S27" s="71">
        <f t="shared" si="8"/>
        <v>229051.6293</v>
      </c>
      <c r="T27" s="71">
        <f t="shared" si="8"/>
        <v>222343.7308</v>
      </c>
      <c r="U27" s="71">
        <f t="shared" si="8"/>
        <v>215832.2767</v>
      </c>
      <c r="V27" s="71">
        <f t="shared" si="8"/>
        <v>209511.514</v>
      </c>
      <c r="W27" s="71">
        <f t="shared" si="8"/>
        <v>203375.8582</v>
      </c>
      <c r="X27" s="71">
        <f t="shared" si="8"/>
        <v>197419.8883</v>
      </c>
      <c r="Y27" s="71">
        <f t="shared" si="8"/>
        <v>191638.3422</v>
      </c>
      <c r="Z27" s="71">
        <f t="shared" ref="Z27:Z28" si="9">SUM(B27:M27)</f>
        <v>2151084.633</v>
      </c>
      <c r="AA27" s="71">
        <f t="shared" ref="AA27:AA28" si="10">SUM(N27:Y27)</f>
        <v>2553569.23</v>
      </c>
    </row>
    <row r="28" hidden="1" outlineLevel="1">
      <c r="A28" s="38" t="s">
        <v>362</v>
      </c>
      <c r="B28" s="77">
        <f>SUMPRODUCT($B18:B18,((((B$2-$B$2:B$2)-Inputs!$E$30)&lt;Inputs!$E$32)*(Inputs!$E$33&gt;((((B$2-$B$2:B$2)-Inputs!$E$30)&gt;0)*((B$2-$B$2:B$2)-Inputs!$E$30)/MAX(Inputs!$E$32,1)))*(Inputs!$E$33-((((B$2-$B$2:B$2)-Inputs!$E$30)&gt;0)*((B$2-$B$2:B$2)-Inputs!$E$30)/MAX(Inputs!$E$32,1)))),((1-Inputs!$E$34)^(1/12))^(B$2-$B$2:B$2))*B26</f>
        <v>0</v>
      </c>
      <c r="C28" s="77">
        <f>SUMPRODUCT($B18:C18,((((C$2-$B$2:C$2)-Inputs!$E$30)&lt;Inputs!$E$32)*(Inputs!$E$33&gt;((((C$2-$B$2:C$2)-Inputs!$E$30)&gt;0)*((C$2-$B$2:C$2)-Inputs!$E$30)/MAX(Inputs!$E$32,1)))*(Inputs!$E$33-((((C$2-$B$2:C$2)-Inputs!$E$30)&gt;0)*((C$2-$B$2:C$2)-Inputs!$E$30)/MAX(Inputs!$E$32,1)))),((1-Inputs!$E$34)^(1/12))^(C$2-$B$2:C$2))*C26</f>
        <v>0</v>
      </c>
      <c r="D28" s="77">
        <f>SUMPRODUCT($B18:D18,((((D$2-$B$2:D$2)-Inputs!$E$30)&lt;Inputs!$E$32)*(Inputs!$E$33&gt;((((D$2-$B$2:D$2)-Inputs!$E$30)&gt;0)*((D$2-$B$2:D$2)-Inputs!$E$30)/MAX(Inputs!$E$32,1)))*(Inputs!$E$33-((((D$2-$B$2:D$2)-Inputs!$E$30)&gt;0)*((D$2-$B$2:D$2)-Inputs!$E$30)/MAX(Inputs!$E$32,1)))),((1-Inputs!$E$34)^(1/12))^(D$2-$B$2:D$2))*D26</f>
        <v>0</v>
      </c>
      <c r="E28" s="77">
        <f>SUMPRODUCT($B18:E18,((((E$2-$B$2:E$2)-Inputs!$E$30)&lt;Inputs!$E$32)*(Inputs!$E$33&gt;((((E$2-$B$2:E$2)-Inputs!$E$30)&gt;0)*((E$2-$B$2:E$2)-Inputs!$E$30)/MAX(Inputs!$E$32,1)))*(Inputs!$E$33-((((E$2-$B$2:E$2)-Inputs!$E$30)&gt;0)*((E$2-$B$2:E$2)-Inputs!$E$30)/MAX(Inputs!$E$32,1)))),((1-Inputs!$E$34)^(1/12))^(E$2-$B$2:E$2))*E26</f>
        <v>0</v>
      </c>
      <c r="F28" s="77">
        <f>SUMPRODUCT($B18:F18,((((F$2-$B$2:F$2)-Inputs!$E$30)&lt;Inputs!$E$32)*(Inputs!$E$33&gt;((((F$2-$B$2:F$2)-Inputs!$E$30)&gt;0)*((F$2-$B$2:F$2)-Inputs!$E$30)/MAX(Inputs!$E$32,1)))*(Inputs!$E$33-((((F$2-$B$2:F$2)-Inputs!$E$30)&gt;0)*((F$2-$B$2:F$2)-Inputs!$E$30)/MAX(Inputs!$E$32,1)))),((1-Inputs!$E$34)^(1/12))^(F$2-$B$2:F$2))*F26</f>
        <v>0</v>
      </c>
      <c r="G28" s="77">
        <f>SUMPRODUCT($B18:G18,((((G$2-$B$2:G$2)-Inputs!$E$30)&lt;Inputs!$E$32)*(Inputs!$E$33&gt;((((G$2-$B$2:G$2)-Inputs!$E$30)&gt;0)*((G$2-$B$2:G$2)-Inputs!$E$30)/MAX(Inputs!$E$32,1)))*(Inputs!$E$33-((((G$2-$B$2:G$2)-Inputs!$E$30)&gt;0)*((G$2-$B$2:G$2)-Inputs!$E$30)/MAX(Inputs!$E$32,1)))),((1-Inputs!$E$34)^(1/12))^(G$2-$B$2:G$2))*G26</f>
        <v>0</v>
      </c>
      <c r="H28" s="77">
        <f>SUMPRODUCT($B18:H18,((((H$2-$B$2:H$2)-Inputs!$E$30)&lt;Inputs!$E$32)*(Inputs!$E$33&gt;((((H$2-$B$2:H$2)-Inputs!$E$30)&gt;0)*((H$2-$B$2:H$2)-Inputs!$E$30)/MAX(Inputs!$E$32,1)))*(Inputs!$E$33-((((H$2-$B$2:H$2)-Inputs!$E$30)&gt;0)*((H$2-$B$2:H$2)-Inputs!$E$30)/MAX(Inputs!$E$32,1)))),((1-Inputs!$E$34)^(1/12))^(H$2-$B$2:H$2))*H26</f>
        <v>0</v>
      </c>
      <c r="I28" s="77">
        <f>SUMPRODUCT($B18:I18,((((I$2-$B$2:I$2)-Inputs!$E$30)&lt;Inputs!$E$32)*(Inputs!$E$33&gt;((((I$2-$B$2:I$2)-Inputs!$E$30)&gt;0)*((I$2-$B$2:I$2)-Inputs!$E$30)/MAX(Inputs!$E$32,1)))*(Inputs!$E$33-((((I$2-$B$2:I$2)-Inputs!$E$30)&gt;0)*((I$2-$B$2:I$2)-Inputs!$E$30)/MAX(Inputs!$E$32,1)))),((1-Inputs!$E$34)^(1/12))^(I$2-$B$2:I$2))*I26</f>
        <v>0</v>
      </c>
      <c r="J28" s="77">
        <f>SUMPRODUCT($B18:J18,((((J$2-$B$2:J$2)-Inputs!$E$30)&lt;Inputs!$E$32)*(Inputs!$E$33&gt;((((J$2-$B$2:J$2)-Inputs!$E$30)&gt;0)*((J$2-$B$2:J$2)-Inputs!$E$30)/MAX(Inputs!$E$32,1)))*(Inputs!$E$33-((((J$2-$B$2:J$2)-Inputs!$E$30)&gt;0)*((J$2-$B$2:J$2)-Inputs!$E$30)/MAX(Inputs!$E$32,1)))),((1-Inputs!$E$34)^(1/12))^(J$2-$B$2:J$2))*J26</f>
        <v>0</v>
      </c>
      <c r="K28" s="77">
        <f>SUMPRODUCT($B18:K18,((((K$2-$B$2:K$2)-Inputs!$E$30)&lt;Inputs!$E$32)*(Inputs!$E$33&gt;((((K$2-$B$2:K$2)-Inputs!$E$30)&gt;0)*((K$2-$B$2:K$2)-Inputs!$E$30)/MAX(Inputs!$E$32,1)))*(Inputs!$E$33-((((K$2-$B$2:K$2)-Inputs!$E$30)&gt;0)*((K$2-$B$2:K$2)-Inputs!$E$30)/MAX(Inputs!$E$32,1)))),((1-Inputs!$E$34)^(1/12))^(K$2-$B$2:K$2))*K26</f>
        <v>0</v>
      </c>
      <c r="L28" s="77">
        <f>SUMPRODUCT($B18:L18,((((L$2-$B$2:L$2)-Inputs!$E$30)&lt;Inputs!$E$32)*(Inputs!$E$33&gt;((((L$2-$B$2:L$2)-Inputs!$E$30)&gt;0)*((L$2-$B$2:L$2)-Inputs!$E$30)/MAX(Inputs!$E$32,1)))*(Inputs!$E$33-((((L$2-$B$2:L$2)-Inputs!$E$30)&gt;0)*((L$2-$B$2:L$2)-Inputs!$E$30)/MAX(Inputs!$E$32,1)))),((1-Inputs!$E$34)^(1/12))^(L$2-$B$2:L$2))*L26</f>
        <v>0</v>
      </c>
      <c r="M28" s="77">
        <f>SUMPRODUCT($B18:M18,((((M$2-$B$2:M$2)-Inputs!$E$30)&lt;Inputs!$E$32)*(Inputs!$E$33&gt;((((M$2-$B$2:M$2)-Inputs!$E$30)&gt;0)*((M$2-$B$2:M$2)-Inputs!$E$30)/MAX(Inputs!$E$32,1)))*(Inputs!$E$33-((((M$2-$B$2:M$2)-Inputs!$E$30)&gt;0)*((M$2-$B$2:M$2)-Inputs!$E$30)/MAX(Inputs!$E$32,1)))),((1-Inputs!$E$34)^(1/12))^(M$2-$B$2:M$2))*M26</f>
        <v>0</v>
      </c>
      <c r="N28" s="77">
        <f>SUMPRODUCT($B18:N18,((((N$2-$B$2:N$2)-Inputs!$E$30)&lt;Inputs!$E$32)*(Inputs!$E$33&gt;((((N$2-$B$2:N$2)-Inputs!$E$30)&gt;0)*((N$2-$B$2:N$2)-Inputs!$E$30)/MAX(Inputs!$E$32,1)))*(Inputs!$E$33-((((N$2-$B$2:N$2)-Inputs!$E$30)&gt;0)*((N$2-$B$2:N$2)-Inputs!$E$30)/MAX(Inputs!$E$32,1)))),((1-Inputs!$E$34)^(1/12))^(N$2-$B$2:N$2))*N26</f>
        <v>0</v>
      </c>
      <c r="O28" s="77">
        <f>SUMPRODUCT($B18:O18,((((O$2-$B$2:O$2)-Inputs!$E$30)&lt;Inputs!$E$32)*(Inputs!$E$33&gt;((((O$2-$B$2:O$2)-Inputs!$E$30)&gt;0)*((O$2-$B$2:O$2)-Inputs!$E$30)/MAX(Inputs!$E$32,1)))*(Inputs!$E$33-((((O$2-$B$2:O$2)-Inputs!$E$30)&gt;0)*((O$2-$B$2:O$2)-Inputs!$E$30)/MAX(Inputs!$E$32,1)))),((1-Inputs!$E$34)^(1/12))^(O$2-$B$2:O$2))*O26</f>
        <v>0</v>
      </c>
      <c r="P28" s="77">
        <f>SUMPRODUCT($B18:P18,((((P$2-$B$2:P$2)-Inputs!$E$30)&lt;Inputs!$E$32)*(Inputs!$E$33&gt;((((P$2-$B$2:P$2)-Inputs!$E$30)&gt;0)*((P$2-$B$2:P$2)-Inputs!$E$30)/MAX(Inputs!$E$32,1)))*(Inputs!$E$33-((((P$2-$B$2:P$2)-Inputs!$E$30)&gt;0)*((P$2-$B$2:P$2)-Inputs!$E$30)/MAX(Inputs!$E$32,1)))),((1-Inputs!$E$34)^(1/12))^(P$2-$B$2:P$2))*P26</f>
        <v>0</v>
      </c>
      <c r="Q28" s="77">
        <f>SUMPRODUCT($B18:Q18,((((Q$2-$B$2:Q$2)-Inputs!$E$30)&lt;Inputs!$E$32)*(Inputs!$E$33&gt;((((Q$2-$B$2:Q$2)-Inputs!$E$30)&gt;0)*((Q$2-$B$2:Q$2)-Inputs!$E$30)/MAX(Inputs!$E$32,1)))*(Inputs!$E$33-((((Q$2-$B$2:Q$2)-Inputs!$E$30)&gt;0)*((Q$2-$B$2:Q$2)-Inputs!$E$30)/MAX(Inputs!$E$32,1)))),((1-Inputs!$E$34)^(1/12))^(Q$2-$B$2:Q$2))*Q26</f>
        <v>0</v>
      </c>
      <c r="R28" s="77">
        <f>SUMPRODUCT($B18:R18,((((R$2-$B$2:R$2)-Inputs!$E$30)&lt;Inputs!$E$32)*(Inputs!$E$33&gt;((((R$2-$B$2:R$2)-Inputs!$E$30)&gt;0)*((R$2-$B$2:R$2)-Inputs!$E$30)/MAX(Inputs!$E$32,1)))*(Inputs!$E$33-((((R$2-$B$2:R$2)-Inputs!$E$30)&gt;0)*((R$2-$B$2:R$2)-Inputs!$E$30)/MAX(Inputs!$E$32,1)))),((1-Inputs!$E$34)^(1/12))^(R$2-$B$2:R$2))*R26</f>
        <v>0</v>
      </c>
      <c r="S28" s="77">
        <f>SUMPRODUCT($B18:S18,((((S$2-$B$2:S$2)-Inputs!$E$30)&lt;Inputs!$E$32)*(Inputs!$E$33&gt;((((S$2-$B$2:S$2)-Inputs!$E$30)&gt;0)*((S$2-$B$2:S$2)-Inputs!$E$30)/MAX(Inputs!$E$32,1)))*(Inputs!$E$33-((((S$2-$B$2:S$2)-Inputs!$E$30)&gt;0)*((S$2-$B$2:S$2)-Inputs!$E$30)/MAX(Inputs!$E$32,1)))),((1-Inputs!$E$34)^(1/12))^(S$2-$B$2:S$2))*S26</f>
        <v>0</v>
      </c>
      <c r="T28" s="77">
        <f>SUMPRODUCT($B18:T18,((((T$2-$B$2:T$2)-Inputs!$E$30)&lt;Inputs!$E$32)*(Inputs!$E$33&gt;((((T$2-$B$2:T$2)-Inputs!$E$30)&gt;0)*((T$2-$B$2:T$2)-Inputs!$E$30)/MAX(Inputs!$E$32,1)))*(Inputs!$E$33-((((T$2-$B$2:T$2)-Inputs!$E$30)&gt;0)*((T$2-$B$2:T$2)-Inputs!$E$30)/MAX(Inputs!$E$32,1)))),((1-Inputs!$E$34)^(1/12))^(T$2-$B$2:T$2))*T26</f>
        <v>0</v>
      </c>
      <c r="U28" s="77">
        <f>SUMPRODUCT($B18:U18,((((U$2-$B$2:U$2)-Inputs!$E$30)&lt;Inputs!$E$32)*(Inputs!$E$33&gt;((((U$2-$B$2:U$2)-Inputs!$E$30)&gt;0)*((U$2-$B$2:U$2)-Inputs!$E$30)/MAX(Inputs!$E$32,1)))*(Inputs!$E$33-((((U$2-$B$2:U$2)-Inputs!$E$30)&gt;0)*((U$2-$B$2:U$2)-Inputs!$E$30)/MAX(Inputs!$E$32,1)))),((1-Inputs!$E$34)^(1/12))^(U$2-$B$2:U$2))*U26</f>
        <v>0</v>
      </c>
      <c r="V28" s="77">
        <f>SUMPRODUCT($B18:V18,((((V$2-$B$2:V$2)-Inputs!$E$30)&lt;Inputs!$E$32)*(Inputs!$E$33&gt;((((V$2-$B$2:V$2)-Inputs!$E$30)&gt;0)*((V$2-$B$2:V$2)-Inputs!$E$30)/MAX(Inputs!$E$32,1)))*(Inputs!$E$33-((((V$2-$B$2:V$2)-Inputs!$E$30)&gt;0)*((V$2-$B$2:V$2)-Inputs!$E$30)/MAX(Inputs!$E$32,1)))),((1-Inputs!$E$34)^(1/12))^(V$2-$B$2:V$2))*V26</f>
        <v>0</v>
      </c>
      <c r="W28" s="77">
        <f>SUMPRODUCT($B18:W18,((((W$2-$B$2:W$2)-Inputs!$E$30)&lt;Inputs!$E$32)*(Inputs!$E$33&gt;((((W$2-$B$2:W$2)-Inputs!$E$30)&gt;0)*((W$2-$B$2:W$2)-Inputs!$E$30)/MAX(Inputs!$E$32,1)))*(Inputs!$E$33-((((W$2-$B$2:W$2)-Inputs!$E$30)&gt;0)*((W$2-$B$2:W$2)-Inputs!$E$30)/MAX(Inputs!$E$32,1)))),((1-Inputs!$E$34)^(1/12))^(W$2-$B$2:W$2))*W26</f>
        <v>0</v>
      </c>
      <c r="X28" s="77">
        <f>SUMPRODUCT($B18:X18,((((X$2-$B$2:X$2)-Inputs!$E$30)&lt;Inputs!$E$32)*(Inputs!$E$33&gt;((((X$2-$B$2:X$2)-Inputs!$E$30)&gt;0)*((X$2-$B$2:X$2)-Inputs!$E$30)/MAX(Inputs!$E$32,1)))*(Inputs!$E$33-((((X$2-$B$2:X$2)-Inputs!$E$30)&gt;0)*((X$2-$B$2:X$2)-Inputs!$E$30)/MAX(Inputs!$E$32,1)))),((1-Inputs!$E$34)^(1/12))^(X$2-$B$2:X$2))*X26</f>
        <v>0</v>
      </c>
      <c r="Y28" s="77">
        <f>SUMPRODUCT($B18:Y18,((((Y$2-$B$2:Y$2)-Inputs!$E$30)&lt;Inputs!$E$32)*(Inputs!$E$33&gt;((((Y$2-$B$2:Y$2)-Inputs!$E$30)&gt;0)*((Y$2-$B$2:Y$2)-Inputs!$E$30)/MAX(Inputs!$E$32,1)))*(Inputs!$E$33-((((Y$2-$B$2:Y$2)-Inputs!$E$30)&gt;0)*((Y$2-$B$2:Y$2)-Inputs!$E$30)/MAX(Inputs!$E$32,1)))),((1-Inputs!$E$34)^(1/12))^(Y$2-$B$2:Y$2))*Y26</f>
        <v>0</v>
      </c>
      <c r="Z28" s="78">
        <f t="shared" si="9"/>
        <v>0</v>
      </c>
      <c r="AA28" s="78">
        <f t="shared" si="10"/>
        <v>0</v>
      </c>
    </row>
    <row r="29">
      <c r="A29" s="3"/>
      <c r="Z29" s="51"/>
      <c r="AA29" s="51"/>
    </row>
    <row r="30" collapsed="1">
      <c r="A30" s="4" t="s">
        <v>16</v>
      </c>
      <c r="B30" s="46"/>
      <c r="C30" s="46"/>
      <c r="D30" s="46"/>
      <c r="E30" s="46"/>
      <c r="F30" s="46"/>
      <c r="G30" s="46"/>
      <c r="H30" s="46"/>
      <c r="I30" s="46"/>
      <c r="J30" s="46"/>
      <c r="K30" s="46"/>
      <c r="L30" s="46"/>
      <c r="M30" s="46"/>
      <c r="N30" s="46"/>
      <c r="O30" s="46"/>
      <c r="P30" s="46"/>
      <c r="Q30" s="46"/>
      <c r="R30" s="46"/>
      <c r="S30" s="46"/>
      <c r="T30" s="46"/>
      <c r="U30" s="46"/>
      <c r="V30" s="46"/>
      <c r="W30" s="46"/>
      <c r="X30" s="46"/>
      <c r="Y30" s="46"/>
      <c r="Z30" s="46"/>
      <c r="AA30" s="46"/>
    </row>
    <row r="31" hidden="1" outlineLevel="1">
      <c r="A31" s="12" t="s">
        <v>343</v>
      </c>
      <c r="B31" s="51"/>
      <c r="C31" s="51"/>
      <c r="D31" s="51"/>
      <c r="E31" s="51"/>
      <c r="F31" s="51"/>
      <c r="G31" s="51"/>
      <c r="H31" s="51"/>
      <c r="I31" s="51"/>
      <c r="J31" s="51"/>
      <c r="K31" s="51"/>
      <c r="L31" s="51"/>
      <c r="M31" s="51"/>
      <c r="N31" s="51"/>
      <c r="O31" s="51"/>
      <c r="P31" s="51"/>
      <c r="Q31" s="51"/>
      <c r="R31" s="51"/>
      <c r="S31" s="51"/>
      <c r="T31" s="51"/>
      <c r="U31" s="51"/>
      <c r="V31" s="51"/>
      <c r="W31" s="51"/>
      <c r="X31" s="51"/>
      <c r="Y31" s="51"/>
      <c r="Z31" s="51"/>
      <c r="AA31" s="51"/>
    </row>
    <row r="32" hidden="1" outlineLevel="1">
      <c r="A32" s="6" t="s">
        <v>344</v>
      </c>
      <c r="B32" s="73">
        <f>Inputs!J$60</f>
        <v>0</v>
      </c>
      <c r="C32" s="73">
        <f>Inputs!K$60</f>
        <v>0</v>
      </c>
      <c r="D32" s="73">
        <f>Inputs!L$60</f>
        <v>0</v>
      </c>
      <c r="E32" s="73">
        <f>Inputs!M$60</f>
        <v>0</v>
      </c>
      <c r="F32" s="73">
        <f>Inputs!N$60</f>
        <v>0</v>
      </c>
      <c r="G32" s="73">
        <f>Inputs!O$60</f>
        <v>0</v>
      </c>
      <c r="H32" s="73">
        <f>Inputs!P$60</f>
        <v>0</v>
      </c>
      <c r="I32" s="73">
        <f>Inputs!Q$60</f>
        <v>0</v>
      </c>
      <c r="J32" s="73">
        <f>Inputs!R$60</f>
        <v>0</v>
      </c>
      <c r="K32" s="73">
        <f>Inputs!S$60</f>
        <v>0</v>
      </c>
      <c r="L32" s="73">
        <f>Inputs!T$60</f>
        <v>0</v>
      </c>
      <c r="M32" s="73">
        <f>Inputs!U$60</f>
        <v>0</v>
      </c>
      <c r="N32" s="73">
        <f>Inputs!V$60</f>
        <v>3</v>
      </c>
      <c r="O32" s="73">
        <f>Inputs!W$60</f>
        <v>0</v>
      </c>
      <c r="P32" s="73">
        <f>Inputs!X$60</f>
        <v>0</v>
      </c>
      <c r="Q32" s="73">
        <f>Inputs!Y$60</f>
        <v>0</v>
      </c>
      <c r="R32" s="73">
        <f>Inputs!Z$60</f>
        <v>0</v>
      </c>
      <c r="S32" s="73">
        <f>Inputs!AA$60</f>
        <v>0</v>
      </c>
      <c r="T32" s="73">
        <f>Inputs!AB$60</f>
        <v>0</v>
      </c>
      <c r="U32" s="73">
        <f>Inputs!AC$60</f>
        <v>0</v>
      </c>
      <c r="V32" s="73">
        <f>Inputs!AD$60</f>
        <v>0</v>
      </c>
      <c r="W32" s="73">
        <f>Inputs!AE$60</f>
        <v>0</v>
      </c>
      <c r="X32" s="73">
        <f>Inputs!AF$60</f>
        <v>0</v>
      </c>
      <c r="Y32" s="73">
        <f>Inputs!AG$60</f>
        <v>0</v>
      </c>
      <c r="Z32" s="72">
        <f>SUM(B32:M32)</f>
        <v>0</v>
      </c>
      <c r="AA32" s="72">
        <f>SUM(N32:Y32)</f>
        <v>3</v>
      </c>
    </row>
    <row r="33" hidden="1" outlineLevel="1">
      <c r="A33" s="6" t="s">
        <v>345</v>
      </c>
      <c r="B33" s="75">
        <f>IF(B$2=1,Inputs!$C$31,A35)</f>
        <v>4</v>
      </c>
      <c r="C33" s="75">
        <f>IF(C$2=1,Inputs!$C$31,B35)</f>
        <v>3.926306119</v>
      </c>
      <c r="D33" s="75">
        <f>IF(D$2=1,Inputs!$C$31,C35)</f>
        <v>3.853969936</v>
      </c>
      <c r="E33" s="75">
        <f>IF(E$2=1,Inputs!$C$31,D35)</f>
        <v>3.782966436</v>
      </c>
      <c r="F33" s="75">
        <f>IF(F$2=1,Inputs!$C$31,E35)</f>
        <v>3.713271067</v>
      </c>
      <c r="G33" s="75">
        <f>IF(G$2=1,Inputs!$C$31,F35)</f>
        <v>3.644859728</v>
      </c>
      <c r="H33" s="75">
        <f>IF(H$2=1,Inputs!$C$31,G35)</f>
        <v>3.577708764</v>
      </c>
      <c r="I33" s="75">
        <f>IF(I$2=1,Inputs!$C$31,H35)</f>
        <v>3.511794953</v>
      </c>
      <c r="J33" s="75">
        <f>IF(J$2=1,Inputs!$C$31,I35)</f>
        <v>3.447095504</v>
      </c>
      <c r="K33" s="75">
        <f>IF(K$2=1,Inputs!$C$31,J35)</f>
        <v>3.383588043</v>
      </c>
      <c r="L33" s="75">
        <f>IF(L$2=1,Inputs!$C$31,K35)</f>
        <v>3.32125061</v>
      </c>
      <c r="M33" s="75">
        <f>IF(M$2=1,Inputs!$C$31,L35)</f>
        <v>3.260061648</v>
      </c>
      <c r="N33" s="75">
        <f>IF(N$2=1,Inputs!$C$31,M35)</f>
        <v>3.2</v>
      </c>
      <c r="O33" s="75">
        <f>IF(O$2=1,Inputs!$C$31,N35)</f>
        <v>6.141044896</v>
      </c>
      <c r="P33" s="75">
        <f>IF(P$2=1,Inputs!$C$31,O35)</f>
        <v>6.027905538</v>
      </c>
      <c r="Q33" s="75">
        <f>IF(Q$2=1,Inputs!$C$31,P35)</f>
        <v>5.916850601</v>
      </c>
      <c r="R33" s="75">
        <f>IF(R$2=1,Inputs!$C$31,Q35)</f>
        <v>5.807841681</v>
      </c>
      <c r="S33" s="75">
        <f>IF(S$2=1,Inputs!$C$31,R35)</f>
        <v>5.700841083</v>
      </c>
      <c r="T33" s="75">
        <f>IF(T$2=1,Inputs!$C$31,S35)</f>
        <v>5.595811807</v>
      </c>
      <c r="U33" s="75">
        <f>IF(U$2=1,Inputs!$C$31,T35)</f>
        <v>5.492717536</v>
      </c>
      <c r="V33" s="75">
        <f>IF(V$2=1,Inputs!$C$31,U35)</f>
        <v>5.391522618</v>
      </c>
      <c r="W33" s="75">
        <f>IF(W$2=1,Inputs!$C$31,V35)</f>
        <v>5.292192062</v>
      </c>
      <c r="X33" s="75">
        <f>IF(X$2=1,Inputs!$C$31,W35)</f>
        <v>5.19469152</v>
      </c>
      <c r="Y33" s="75">
        <f>IF(Y$2=1,Inputs!$C$31,X35)</f>
        <v>5.098987276</v>
      </c>
      <c r="Z33" s="76"/>
      <c r="AA33" s="76"/>
    </row>
    <row r="34" hidden="1" outlineLevel="1">
      <c r="A34" s="6" t="s">
        <v>346</v>
      </c>
      <c r="B34" s="75">
        <f>B33*(1-((1-Inputs!$C$34)^(1/12)))</f>
        <v>0.0736938805</v>
      </c>
      <c r="C34" s="75">
        <f>C33*(1-((1-Inputs!$C$34)^(1/12)))</f>
        <v>0.0723361835</v>
      </c>
      <c r="D34" s="75">
        <f>D33*(1-((1-Inputs!$C$34)^(1/12)))</f>
        <v>0.07100349998</v>
      </c>
      <c r="E34" s="75">
        <f>E33*(1-((1-Inputs!$C$34)^(1/12)))</f>
        <v>0.06969536912</v>
      </c>
      <c r="F34" s="75">
        <f>F33*(1-((1-Inputs!$C$34)^(1/12)))</f>
        <v>0.06841133857</v>
      </c>
      <c r="G34" s="75">
        <f>G33*(1-((1-Inputs!$C$34)^(1/12)))</f>
        <v>0.06715096432</v>
      </c>
      <c r="H34" s="75">
        <f>H33*(1-((1-Inputs!$C$34)^(1/12)))</f>
        <v>0.06591381053</v>
      </c>
      <c r="I34" s="75">
        <f>I33*(1-((1-Inputs!$C$34)^(1/12)))</f>
        <v>0.06469944941</v>
      </c>
      <c r="J34" s="75">
        <f>J33*(1-((1-Inputs!$C$34)^(1/12)))</f>
        <v>0.06350746104</v>
      </c>
      <c r="K34" s="75">
        <f>K33*(1-((1-Inputs!$C$34)^(1/12)))</f>
        <v>0.06233743323</v>
      </c>
      <c r="L34" s="75">
        <f>L33*(1-((1-Inputs!$C$34)^(1/12)))</f>
        <v>0.06118896139</v>
      </c>
      <c r="M34" s="75">
        <f>M33*(1-((1-Inputs!$C$34)^(1/12)))</f>
        <v>0.06006164839</v>
      </c>
      <c r="N34" s="75">
        <f>N33*(1-((1-Inputs!$C$34)^(1/12)))</f>
        <v>0.0589551044</v>
      </c>
      <c r="O34" s="75">
        <f>O33*(1-((1-Inputs!$C$34)^(1/12)))</f>
        <v>0.1131393572</v>
      </c>
      <c r="P34" s="75">
        <f>P33*(1-((1-Inputs!$C$34)^(1/12)))</f>
        <v>0.1110549376</v>
      </c>
      <c r="Q34" s="75">
        <f>Q33*(1-((1-Inputs!$C$34)^(1/12)))</f>
        <v>0.1090089203</v>
      </c>
      <c r="R34" s="75">
        <f>R33*(1-((1-Inputs!$C$34)^(1/12)))</f>
        <v>0.1070005977</v>
      </c>
      <c r="S34" s="75">
        <f>S33*(1-((1-Inputs!$C$34)^(1/12)))</f>
        <v>0.1050292754</v>
      </c>
      <c r="T34" s="75">
        <f>T33*(1-((1-Inputs!$C$34)^(1/12)))</f>
        <v>0.1030942717</v>
      </c>
      <c r="U34" s="75">
        <f>U33*(1-((1-Inputs!$C$34)^(1/12)))</f>
        <v>0.1011949174</v>
      </c>
      <c r="V34" s="75">
        <f>V33*(1-((1-Inputs!$C$34)^(1/12)))</f>
        <v>0.09933055589</v>
      </c>
      <c r="W34" s="75">
        <f>W33*(1-((1-Inputs!$C$34)^(1/12)))</f>
        <v>0.09750054236</v>
      </c>
      <c r="X34" s="75">
        <f>X33*(1-((1-Inputs!$C$34)^(1/12)))</f>
        <v>0.09570424404</v>
      </c>
      <c r="Y34" s="75">
        <f>Y33*(1-((1-Inputs!$C$34)^(1/12)))</f>
        <v>0.09394103975</v>
      </c>
      <c r="Z34" s="76">
        <f>SUM(B34:M34)</f>
        <v>0.8</v>
      </c>
      <c r="AA34" s="76">
        <f>SUM(N34:Y34)</f>
        <v>1.194953764</v>
      </c>
    </row>
    <row r="35" hidden="1" outlineLevel="1">
      <c r="A35" s="6" t="s">
        <v>347</v>
      </c>
      <c r="B35" s="75">
        <f t="shared" ref="B35:Y35" si="11">B33+B32-B34</f>
        <v>3.926306119</v>
      </c>
      <c r="C35" s="75">
        <f t="shared" si="11"/>
        <v>3.853969936</v>
      </c>
      <c r="D35" s="75">
        <f t="shared" si="11"/>
        <v>3.782966436</v>
      </c>
      <c r="E35" s="75">
        <f t="shared" si="11"/>
        <v>3.713271067</v>
      </c>
      <c r="F35" s="75">
        <f t="shared" si="11"/>
        <v>3.644859728</v>
      </c>
      <c r="G35" s="75">
        <f t="shared" si="11"/>
        <v>3.577708764</v>
      </c>
      <c r="H35" s="75">
        <f t="shared" si="11"/>
        <v>3.511794953</v>
      </c>
      <c r="I35" s="75">
        <f t="shared" si="11"/>
        <v>3.447095504</v>
      </c>
      <c r="J35" s="75">
        <f t="shared" si="11"/>
        <v>3.383588043</v>
      </c>
      <c r="K35" s="75">
        <f t="shared" si="11"/>
        <v>3.32125061</v>
      </c>
      <c r="L35" s="75">
        <f t="shared" si="11"/>
        <v>3.260061648</v>
      </c>
      <c r="M35" s="75">
        <f t="shared" si="11"/>
        <v>3.2</v>
      </c>
      <c r="N35" s="75">
        <f t="shared" si="11"/>
        <v>6.141044896</v>
      </c>
      <c r="O35" s="75">
        <f t="shared" si="11"/>
        <v>6.027905538</v>
      </c>
      <c r="P35" s="75">
        <f t="shared" si="11"/>
        <v>5.916850601</v>
      </c>
      <c r="Q35" s="75">
        <f t="shared" si="11"/>
        <v>5.807841681</v>
      </c>
      <c r="R35" s="75">
        <f t="shared" si="11"/>
        <v>5.700841083</v>
      </c>
      <c r="S35" s="75">
        <f t="shared" si="11"/>
        <v>5.595811807</v>
      </c>
      <c r="T35" s="75">
        <f t="shared" si="11"/>
        <v>5.492717536</v>
      </c>
      <c r="U35" s="75">
        <f t="shared" si="11"/>
        <v>5.391522618</v>
      </c>
      <c r="V35" s="75">
        <f t="shared" si="11"/>
        <v>5.292192062</v>
      </c>
      <c r="W35" s="75">
        <f t="shared" si="11"/>
        <v>5.19469152</v>
      </c>
      <c r="X35" s="75">
        <f t="shared" si="11"/>
        <v>5.098987276</v>
      </c>
      <c r="Y35" s="75">
        <f t="shared" si="11"/>
        <v>5.005046236</v>
      </c>
      <c r="Z35" s="76">
        <f>M35</f>
        <v>3.2</v>
      </c>
      <c r="AA35" s="76">
        <f>Y35</f>
        <v>5.005046236</v>
      </c>
    </row>
    <row r="36" hidden="1" outlineLevel="1">
      <c r="A36" s="6" t="s">
        <v>348</v>
      </c>
      <c r="B36" s="75">
        <f>SUMPRODUCT($B32:B32,(((B$2-$B$2:B$2)&gt;=Inputs!$C$32)+((B$2-$B$2:B$2)&lt;Inputs!$C$32)*(B$2-$B$2:B$2)/MAX(Inputs!$C$32,1)),((1-Inputs!$C$34)^(1/12))^(B$2-$B$2:B$2))</f>
        <v>0</v>
      </c>
      <c r="C36" s="75">
        <f>SUMPRODUCT($B32:C32,(((C$2-$B$2:C$2)&gt;=Inputs!$C$32)+((C$2-$B$2:C$2)&lt;Inputs!$C$32)*(C$2-$B$2:C$2)/MAX(Inputs!$C$32,1)),((1-Inputs!$C$34)^(1/12))^(C$2-$B$2:C$2))</f>
        <v>0</v>
      </c>
      <c r="D36" s="75">
        <f>SUMPRODUCT($B32:D32,(((D$2-$B$2:D$2)&gt;=Inputs!$C$32)+((D$2-$B$2:D$2)&lt;Inputs!$C$32)*(D$2-$B$2:D$2)/MAX(Inputs!$C$32,1)),((1-Inputs!$C$34)^(1/12))^(D$2-$B$2:D$2))</f>
        <v>0</v>
      </c>
      <c r="E36" s="75">
        <f>SUMPRODUCT($B32:E32,(((E$2-$B$2:E$2)&gt;=Inputs!$C$32)+((E$2-$B$2:E$2)&lt;Inputs!$C$32)*(E$2-$B$2:E$2)/MAX(Inputs!$C$32,1)),((1-Inputs!$C$34)^(1/12))^(E$2-$B$2:E$2))</f>
        <v>0</v>
      </c>
      <c r="F36" s="75">
        <f>SUMPRODUCT($B32:F32,(((F$2-$B$2:F$2)&gt;=Inputs!$C$32)+((F$2-$B$2:F$2)&lt;Inputs!$C$32)*(F$2-$B$2:F$2)/MAX(Inputs!$C$32,1)),((1-Inputs!$C$34)^(1/12))^(F$2-$B$2:F$2))</f>
        <v>0</v>
      </c>
      <c r="G36" s="75">
        <f>SUMPRODUCT($B32:G32,(((G$2-$B$2:G$2)&gt;=Inputs!$C$32)+((G$2-$B$2:G$2)&lt;Inputs!$C$32)*(G$2-$B$2:G$2)/MAX(Inputs!$C$32,1)),((1-Inputs!$C$34)^(1/12))^(G$2-$B$2:G$2))</f>
        <v>0</v>
      </c>
      <c r="H36" s="75">
        <f>SUMPRODUCT($B32:H32,(((H$2-$B$2:H$2)&gt;=Inputs!$C$32)+((H$2-$B$2:H$2)&lt;Inputs!$C$32)*(H$2-$B$2:H$2)/MAX(Inputs!$C$32,1)),((1-Inputs!$C$34)^(1/12))^(H$2-$B$2:H$2))</f>
        <v>0</v>
      </c>
      <c r="I36" s="75">
        <f>SUMPRODUCT($B32:I32,(((I$2-$B$2:I$2)&gt;=Inputs!$C$32)+((I$2-$B$2:I$2)&lt;Inputs!$C$32)*(I$2-$B$2:I$2)/MAX(Inputs!$C$32,1)),((1-Inputs!$C$34)^(1/12))^(I$2-$B$2:I$2))</f>
        <v>0</v>
      </c>
      <c r="J36" s="75">
        <f>SUMPRODUCT($B32:J32,(((J$2-$B$2:J$2)&gt;=Inputs!$C$32)+((J$2-$B$2:J$2)&lt;Inputs!$C$32)*(J$2-$B$2:J$2)/MAX(Inputs!$C$32,1)),((1-Inputs!$C$34)^(1/12))^(J$2-$B$2:J$2))</f>
        <v>0</v>
      </c>
      <c r="K36" s="75">
        <f>SUMPRODUCT($B32:K32,(((K$2-$B$2:K$2)&gt;=Inputs!$C$32)+((K$2-$B$2:K$2)&lt;Inputs!$C$32)*(K$2-$B$2:K$2)/MAX(Inputs!$C$32,1)),((1-Inputs!$C$34)^(1/12))^(K$2-$B$2:K$2))</f>
        <v>0</v>
      </c>
      <c r="L36" s="75">
        <f>SUMPRODUCT($B32:L32,(((L$2-$B$2:L$2)&gt;=Inputs!$C$32)+((L$2-$B$2:L$2)&lt;Inputs!$C$32)*(L$2-$B$2:L$2)/MAX(Inputs!$C$32,1)),((1-Inputs!$C$34)^(1/12))^(L$2-$B$2:L$2))</f>
        <v>0</v>
      </c>
      <c r="M36" s="75">
        <f>SUMPRODUCT($B32:M32,(((M$2-$B$2:M$2)&gt;=Inputs!$C$32)+((M$2-$B$2:M$2)&lt;Inputs!$C$32)*(M$2-$B$2:M$2)/MAX(Inputs!$C$32,1)),((1-Inputs!$C$34)^(1/12))^(M$2-$B$2:M$2))</f>
        <v>0</v>
      </c>
      <c r="N36" s="75">
        <f>SUMPRODUCT($B32:N32,(((N$2-$B$2:N$2)&gt;=Inputs!$C$32)+((N$2-$B$2:N$2)&lt;Inputs!$C$32)*(N$2-$B$2:N$2)/MAX(Inputs!$C$32,1)),((1-Inputs!$C$34)^(1/12))^(N$2-$B$2:N$2))</f>
        <v>0</v>
      </c>
      <c r="O36" s="75">
        <f>SUMPRODUCT($B32:O32,(((O$2-$B$2:O$2)&gt;=Inputs!$C$32)+((O$2-$B$2:O$2)&lt;Inputs!$C$32)*(O$2-$B$2:O$2)/MAX(Inputs!$C$32,1)),((1-Inputs!$C$34)^(1/12))^(O$2-$B$2:O$2))</f>
        <v>0.9815765299</v>
      </c>
      <c r="P36" s="75">
        <f>SUMPRODUCT($B32:P32,(((P$2-$B$2:P$2)&gt;=Inputs!$C$32)+((P$2-$B$2:P$2)&lt;Inputs!$C$32)*(P$2-$B$2:P$2)/MAX(Inputs!$C$32,1)),((1-Inputs!$C$34)^(1/12))^(P$2-$B$2:P$2))</f>
        <v>1.926984968</v>
      </c>
      <c r="Q36" s="75">
        <f>SUMPRODUCT($B32:Q32,(((Q$2-$B$2:Q$2)&gt;=Inputs!$C$32)+((Q$2-$B$2:Q$2)&lt;Inputs!$C$32)*(Q$2-$B$2:Q$2)/MAX(Inputs!$C$32,1)),((1-Inputs!$C$34)^(1/12))^(Q$2-$B$2:Q$2))</f>
        <v>2.837224827</v>
      </c>
      <c r="R36" s="75">
        <f>SUMPRODUCT($B32:R32,(((R$2-$B$2:R$2)&gt;=Inputs!$C$32)+((R$2-$B$2:R$2)&lt;Inputs!$C$32)*(R$2-$B$2:R$2)/MAX(Inputs!$C$32,1)),((1-Inputs!$C$34)^(1/12))^(R$2-$B$2:R$2))</f>
        <v>2.7849533</v>
      </c>
      <c r="S36" s="75">
        <f>SUMPRODUCT($B32:S32,(((S$2-$B$2:S$2)&gt;=Inputs!$C$32)+((S$2-$B$2:S$2)&lt;Inputs!$C$32)*(S$2-$B$2:S$2)/MAX(Inputs!$C$32,1)),((1-Inputs!$C$34)^(1/12))^(S$2-$B$2:S$2))</f>
        <v>2.733644796</v>
      </c>
      <c r="T36" s="75">
        <f>SUMPRODUCT($B32:T32,(((T$2-$B$2:T$2)&gt;=Inputs!$C$32)+((T$2-$B$2:T$2)&lt;Inputs!$C$32)*(T$2-$B$2:T$2)/MAX(Inputs!$C$32,1)),((1-Inputs!$C$34)^(1/12))^(T$2-$B$2:T$2))</f>
        <v>2.683281573</v>
      </c>
      <c r="U36" s="75">
        <f>SUMPRODUCT($B32:U32,(((U$2-$B$2:U$2)&gt;=Inputs!$C$32)+((U$2-$B$2:U$2)&lt;Inputs!$C$32)*(U$2-$B$2:U$2)/MAX(Inputs!$C$32,1)),((1-Inputs!$C$34)^(1/12))^(U$2-$B$2:U$2))</f>
        <v>2.633846215</v>
      </c>
      <c r="V36" s="75">
        <f>SUMPRODUCT($B32:V32,(((V$2-$B$2:V$2)&gt;=Inputs!$C$32)+((V$2-$B$2:V$2)&lt;Inputs!$C$32)*(V$2-$B$2:V$2)/MAX(Inputs!$C$32,1)),((1-Inputs!$C$34)^(1/12))^(V$2-$B$2:V$2))</f>
        <v>2.585321628</v>
      </c>
      <c r="W36" s="75">
        <f>SUMPRODUCT($B32:W32,(((W$2-$B$2:W$2)&gt;=Inputs!$C$32)+((W$2-$B$2:W$2)&lt;Inputs!$C$32)*(W$2-$B$2:W$2)/MAX(Inputs!$C$32,1)),((1-Inputs!$C$34)^(1/12))^(W$2-$B$2:W$2))</f>
        <v>2.537691032</v>
      </c>
      <c r="X36" s="75">
        <f>SUMPRODUCT($B32:X32,(((X$2-$B$2:X$2)&gt;=Inputs!$C$32)+((X$2-$B$2:X$2)&lt;Inputs!$C$32)*(X$2-$B$2:X$2)/MAX(Inputs!$C$32,1)),((1-Inputs!$C$34)^(1/12))^(X$2-$B$2:X$2))</f>
        <v>2.490937957</v>
      </c>
      <c r="Y36" s="75">
        <f>SUMPRODUCT($B32:Y32,(((Y$2-$B$2:Y$2)&gt;=Inputs!$C$32)+((Y$2-$B$2:Y$2)&lt;Inputs!$C$32)*(Y$2-$B$2:Y$2)/MAX(Inputs!$C$32,1)),((1-Inputs!$C$34)^(1/12))^(Y$2-$B$2:Y$2))</f>
        <v>2.445046236</v>
      </c>
      <c r="Z36" s="76"/>
      <c r="AA36" s="76"/>
    </row>
    <row r="37" hidden="1" outlineLevel="1">
      <c r="A37" s="6" t="s">
        <v>349</v>
      </c>
      <c r="B37" s="75">
        <f>SUMPRODUCT($B32:B32,((((B$2-$B$2:B$2)-Inputs!$C$30)&gt;=Inputs!$C$32)+(((B$2-$B$2:B$2)-Inputs!$C$30)&lt;Inputs!$C$32)*((((B$2-$B$2:B$2)-Inputs!$C$30)/MAX(Inputs!$C$32,1)&gt;Inputs!$C$33)*((B$2-$B$2:B$2)-Inputs!$C$30)/MAX(Inputs!$C$32,1)+(((B$2-$B$2:B$2)-Inputs!$C$30)/MAX(Inputs!$C$32,1)&lt;=Inputs!$C$33)*Inputs!$C$33)),((1-Inputs!$C$34)^(1/12))^(B$2-$B$2:B$2))</f>
        <v>0</v>
      </c>
      <c r="C37" s="75">
        <f>SUMPRODUCT($B32:C32,((((C$2-$B$2:C$2)-Inputs!$C$30)&gt;=Inputs!$C$32)+(((C$2-$B$2:C$2)-Inputs!$C$30)&lt;Inputs!$C$32)*((((C$2-$B$2:C$2)-Inputs!$C$30)/MAX(Inputs!$C$32,1)&gt;Inputs!$C$33)*((C$2-$B$2:C$2)-Inputs!$C$30)/MAX(Inputs!$C$32,1)+(((C$2-$B$2:C$2)-Inputs!$C$30)/MAX(Inputs!$C$32,1)&lt;=Inputs!$C$33)*Inputs!$C$33)),((1-Inputs!$C$34)^(1/12))^(C$2-$B$2:C$2))</f>
        <v>0</v>
      </c>
      <c r="D37" s="75">
        <f>SUMPRODUCT($B32:D32,((((D$2-$B$2:D$2)-Inputs!$C$30)&gt;=Inputs!$C$32)+(((D$2-$B$2:D$2)-Inputs!$C$30)&lt;Inputs!$C$32)*((((D$2-$B$2:D$2)-Inputs!$C$30)/MAX(Inputs!$C$32,1)&gt;Inputs!$C$33)*((D$2-$B$2:D$2)-Inputs!$C$30)/MAX(Inputs!$C$32,1)+(((D$2-$B$2:D$2)-Inputs!$C$30)/MAX(Inputs!$C$32,1)&lt;=Inputs!$C$33)*Inputs!$C$33)),((1-Inputs!$C$34)^(1/12))^(D$2-$B$2:D$2))</f>
        <v>0</v>
      </c>
      <c r="E37" s="75">
        <f>SUMPRODUCT($B32:E32,((((E$2-$B$2:E$2)-Inputs!$C$30)&gt;=Inputs!$C$32)+(((E$2-$B$2:E$2)-Inputs!$C$30)&lt;Inputs!$C$32)*((((E$2-$B$2:E$2)-Inputs!$C$30)/MAX(Inputs!$C$32,1)&gt;Inputs!$C$33)*((E$2-$B$2:E$2)-Inputs!$C$30)/MAX(Inputs!$C$32,1)+(((E$2-$B$2:E$2)-Inputs!$C$30)/MAX(Inputs!$C$32,1)&lt;=Inputs!$C$33)*Inputs!$C$33)),((1-Inputs!$C$34)^(1/12))^(E$2-$B$2:E$2))</f>
        <v>0</v>
      </c>
      <c r="F37" s="75">
        <f>SUMPRODUCT($B32:F32,((((F$2-$B$2:F$2)-Inputs!$C$30)&gt;=Inputs!$C$32)+(((F$2-$B$2:F$2)-Inputs!$C$30)&lt;Inputs!$C$32)*((((F$2-$B$2:F$2)-Inputs!$C$30)/MAX(Inputs!$C$32,1)&gt;Inputs!$C$33)*((F$2-$B$2:F$2)-Inputs!$C$30)/MAX(Inputs!$C$32,1)+(((F$2-$B$2:F$2)-Inputs!$C$30)/MAX(Inputs!$C$32,1)&lt;=Inputs!$C$33)*Inputs!$C$33)),((1-Inputs!$C$34)^(1/12))^(F$2-$B$2:F$2))</f>
        <v>0</v>
      </c>
      <c r="G37" s="75">
        <f>SUMPRODUCT($B32:G32,((((G$2-$B$2:G$2)-Inputs!$C$30)&gt;=Inputs!$C$32)+(((G$2-$B$2:G$2)-Inputs!$C$30)&lt;Inputs!$C$32)*((((G$2-$B$2:G$2)-Inputs!$C$30)/MAX(Inputs!$C$32,1)&gt;Inputs!$C$33)*((G$2-$B$2:G$2)-Inputs!$C$30)/MAX(Inputs!$C$32,1)+(((G$2-$B$2:G$2)-Inputs!$C$30)/MAX(Inputs!$C$32,1)&lt;=Inputs!$C$33)*Inputs!$C$33)),((1-Inputs!$C$34)^(1/12))^(G$2-$B$2:G$2))</f>
        <v>0</v>
      </c>
      <c r="H37" s="75">
        <f>SUMPRODUCT($B32:H32,((((H$2-$B$2:H$2)-Inputs!$C$30)&gt;=Inputs!$C$32)+(((H$2-$B$2:H$2)-Inputs!$C$30)&lt;Inputs!$C$32)*((((H$2-$B$2:H$2)-Inputs!$C$30)/MAX(Inputs!$C$32,1)&gt;Inputs!$C$33)*((H$2-$B$2:H$2)-Inputs!$C$30)/MAX(Inputs!$C$32,1)+(((H$2-$B$2:H$2)-Inputs!$C$30)/MAX(Inputs!$C$32,1)&lt;=Inputs!$C$33)*Inputs!$C$33)),((1-Inputs!$C$34)^(1/12))^(H$2-$B$2:H$2))</f>
        <v>0</v>
      </c>
      <c r="I37" s="75">
        <f>SUMPRODUCT($B32:I32,((((I$2-$B$2:I$2)-Inputs!$C$30)&gt;=Inputs!$C$32)+(((I$2-$B$2:I$2)-Inputs!$C$30)&lt;Inputs!$C$32)*((((I$2-$B$2:I$2)-Inputs!$C$30)/MAX(Inputs!$C$32,1)&gt;Inputs!$C$33)*((I$2-$B$2:I$2)-Inputs!$C$30)/MAX(Inputs!$C$32,1)+(((I$2-$B$2:I$2)-Inputs!$C$30)/MAX(Inputs!$C$32,1)&lt;=Inputs!$C$33)*Inputs!$C$33)),((1-Inputs!$C$34)^(1/12))^(I$2-$B$2:I$2))</f>
        <v>0</v>
      </c>
      <c r="J37" s="75">
        <f>SUMPRODUCT($B32:J32,((((J$2-$B$2:J$2)-Inputs!$C$30)&gt;=Inputs!$C$32)+(((J$2-$B$2:J$2)-Inputs!$C$30)&lt;Inputs!$C$32)*((((J$2-$B$2:J$2)-Inputs!$C$30)/MAX(Inputs!$C$32,1)&gt;Inputs!$C$33)*((J$2-$B$2:J$2)-Inputs!$C$30)/MAX(Inputs!$C$32,1)+(((J$2-$B$2:J$2)-Inputs!$C$30)/MAX(Inputs!$C$32,1)&lt;=Inputs!$C$33)*Inputs!$C$33)),((1-Inputs!$C$34)^(1/12))^(J$2-$B$2:J$2))</f>
        <v>0</v>
      </c>
      <c r="K37" s="75">
        <f>SUMPRODUCT($B32:K32,((((K$2-$B$2:K$2)-Inputs!$C$30)&gt;=Inputs!$C$32)+(((K$2-$B$2:K$2)-Inputs!$C$30)&lt;Inputs!$C$32)*((((K$2-$B$2:K$2)-Inputs!$C$30)/MAX(Inputs!$C$32,1)&gt;Inputs!$C$33)*((K$2-$B$2:K$2)-Inputs!$C$30)/MAX(Inputs!$C$32,1)+(((K$2-$B$2:K$2)-Inputs!$C$30)/MAX(Inputs!$C$32,1)&lt;=Inputs!$C$33)*Inputs!$C$33)),((1-Inputs!$C$34)^(1/12))^(K$2-$B$2:K$2))</f>
        <v>0</v>
      </c>
      <c r="L37" s="75">
        <f>SUMPRODUCT($B32:L32,((((L$2-$B$2:L$2)-Inputs!$C$30)&gt;=Inputs!$C$32)+(((L$2-$B$2:L$2)-Inputs!$C$30)&lt;Inputs!$C$32)*((((L$2-$B$2:L$2)-Inputs!$C$30)/MAX(Inputs!$C$32,1)&gt;Inputs!$C$33)*((L$2-$B$2:L$2)-Inputs!$C$30)/MAX(Inputs!$C$32,1)+(((L$2-$B$2:L$2)-Inputs!$C$30)/MAX(Inputs!$C$32,1)&lt;=Inputs!$C$33)*Inputs!$C$33)),((1-Inputs!$C$34)^(1/12))^(L$2-$B$2:L$2))</f>
        <v>0</v>
      </c>
      <c r="M37" s="75">
        <f>SUMPRODUCT($B32:M32,((((M$2-$B$2:M$2)-Inputs!$C$30)&gt;=Inputs!$C$32)+(((M$2-$B$2:M$2)-Inputs!$C$30)&lt;Inputs!$C$32)*((((M$2-$B$2:M$2)-Inputs!$C$30)/MAX(Inputs!$C$32,1)&gt;Inputs!$C$33)*((M$2-$B$2:M$2)-Inputs!$C$30)/MAX(Inputs!$C$32,1)+(((M$2-$B$2:M$2)-Inputs!$C$30)/MAX(Inputs!$C$32,1)&lt;=Inputs!$C$33)*Inputs!$C$33)),((1-Inputs!$C$34)^(1/12))^(M$2-$B$2:M$2))</f>
        <v>0</v>
      </c>
      <c r="N37" s="75">
        <f>SUMPRODUCT($B32:N32,((((N$2-$B$2:N$2)-Inputs!$C$30)&gt;=Inputs!$C$32)+(((N$2-$B$2:N$2)-Inputs!$C$30)&lt;Inputs!$C$32)*((((N$2-$B$2:N$2)-Inputs!$C$30)/MAX(Inputs!$C$32,1)&gt;Inputs!$C$33)*((N$2-$B$2:N$2)-Inputs!$C$30)/MAX(Inputs!$C$32,1)+(((N$2-$B$2:N$2)-Inputs!$C$30)/MAX(Inputs!$C$32,1)&lt;=Inputs!$C$33)*Inputs!$C$33)),((1-Inputs!$C$34)^(1/12))^(N$2-$B$2:N$2))</f>
        <v>0</v>
      </c>
      <c r="O37" s="75">
        <f>SUMPRODUCT($B32:O32,((((O$2-$B$2:O$2)-Inputs!$C$30)&gt;=Inputs!$C$32)+(((O$2-$B$2:O$2)-Inputs!$C$30)&lt;Inputs!$C$32)*((((O$2-$B$2:O$2)-Inputs!$C$30)/MAX(Inputs!$C$32,1)&gt;Inputs!$C$33)*((O$2-$B$2:O$2)-Inputs!$C$30)/MAX(Inputs!$C$32,1)+(((O$2-$B$2:O$2)-Inputs!$C$30)/MAX(Inputs!$C$32,1)&lt;=Inputs!$C$33)*Inputs!$C$33)),((1-Inputs!$C$34)^(1/12))^(O$2-$B$2:O$2))</f>
        <v>0</v>
      </c>
      <c r="P37" s="75">
        <f>SUMPRODUCT($B32:P32,((((P$2-$B$2:P$2)-Inputs!$C$30)&gt;=Inputs!$C$32)+(((P$2-$B$2:P$2)-Inputs!$C$30)&lt;Inputs!$C$32)*((((P$2-$B$2:P$2)-Inputs!$C$30)/MAX(Inputs!$C$32,1)&gt;Inputs!$C$33)*((P$2-$B$2:P$2)-Inputs!$C$30)/MAX(Inputs!$C$32,1)+(((P$2-$B$2:P$2)-Inputs!$C$30)/MAX(Inputs!$C$32,1)&lt;=Inputs!$C$33)*Inputs!$C$33)),((1-Inputs!$C$34)^(1/12))^(P$2-$B$2:P$2))</f>
        <v>0</v>
      </c>
      <c r="Q37" s="75">
        <f>SUMPRODUCT($B32:Q32,((((Q$2-$B$2:Q$2)-Inputs!$C$30)&gt;=Inputs!$C$32)+(((Q$2-$B$2:Q$2)-Inputs!$C$30)&lt;Inputs!$C$32)*((((Q$2-$B$2:Q$2)-Inputs!$C$30)/MAX(Inputs!$C$32,1)&gt;Inputs!$C$33)*((Q$2-$B$2:Q$2)-Inputs!$C$30)/MAX(Inputs!$C$32,1)+(((Q$2-$B$2:Q$2)-Inputs!$C$30)/MAX(Inputs!$C$32,1)&lt;=Inputs!$C$33)*Inputs!$C$33)),((1-Inputs!$C$34)^(1/12))^(Q$2-$B$2:Q$2))</f>
        <v>0</v>
      </c>
      <c r="R37" s="75">
        <f>SUMPRODUCT($B32:R32,((((R$2-$B$2:R$2)-Inputs!$C$30)&gt;=Inputs!$C$32)+(((R$2-$B$2:R$2)-Inputs!$C$30)&lt;Inputs!$C$32)*((((R$2-$B$2:R$2)-Inputs!$C$30)/MAX(Inputs!$C$32,1)&gt;Inputs!$C$33)*((R$2-$B$2:R$2)-Inputs!$C$30)/MAX(Inputs!$C$32,1)+(((R$2-$B$2:R$2)-Inputs!$C$30)/MAX(Inputs!$C$32,1)&lt;=Inputs!$C$33)*Inputs!$C$33)),((1-Inputs!$C$34)^(1/12))^(R$2-$B$2:R$2))</f>
        <v>0.9283177667</v>
      </c>
      <c r="S37" s="75">
        <f>SUMPRODUCT($B32:S32,((((S$2-$B$2:S$2)-Inputs!$C$30)&gt;=Inputs!$C$32)+(((S$2-$B$2:S$2)-Inputs!$C$30)&lt;Inputs!$C$32)*((((S$2-$B$2:S$2)-Inputs!$C$30)/MAX(Inputs!$C$32,1)&gt;Inputs!$C$33)*((S$2-$B$2:S$2)-Inputs!$C$30)/MAX(Inputs!$C$32,1)+(((S$2-$B$2:S$2)-Inputs!$C$30)/MAX(Inputs!$C$32,1)&lt;=Inputs!$C$33)*Inputs!$C$33)),((1-Inputs!$C$34)^(1/12))^(S$2-$B$2:S$2))</f>
        <v>1.822429864</v>
      </c>
      <c r="T37" s="75">
        <f>SUMPRODUCT($B32:T32,((((T$2-$B$2:T$2)-Inputs!$C$30)&gt;=Inputs!$C$32)+(((T$2-$B$2:T$2)-Inputs!$C$30)&lt;Inputs!$C$32)*((((T$2-$B$2:T$2)-Inputs!$C$30)/MAX(Inputs!$C$32,1)&gt;Inputs!$C$33)*((T$2-$B$2:T$2)-Inputs!$C$30)/MAX(Inputs!$C$32,1)+(((T$2-$B$2:T$2)-Inputs!$C$30)/MAX(Inputs!$C$32,1)&lt;=Inputs!$C$33)*Inputs!$C$33)),((1-Inputs!$C$34)^(1/12))^(T$2-$B$2:T$2))</f>
        <v>2.683281573</v>
      </c>
      <c r="U37" s="75">
        <f>SUMPRODUCT($B32:U32,((((U$2-$B$2:U$2)-Inputs!$C$30)&gt;=Inputs!$C$32)+(((U$2-$B$2:U$2)-Inputs!$C$30)&lt;Inputs!$C$32)*((((U$2-$B$2:U$2)-Inputs!$C$30)/MAX(Inputs!$C$32,1)&gt;Inputs!$C$33)*((U$2-$B$2:U$2)-Inputs!$C$30)/MAX(Inputs!$C$32,1)+(((U$2-$B$2:U$2)-Inputs!$C$30)/MAX(Inputs!$C$32,1)&lt;=Inputs!$C$33)*Inputs!$C$33)),((1-Inputs!$C$34)^(1/12))^(U$2-$B$2:U$2))</f>
        <v>2.633846215</v>
      </c>
      <c r="V37" s="75">
        <f>SUMPRODUCT($B32:V32,((((V$2-$B$2:V$2)-Inputs!$C$30)&gt;=Inputs!$C$32)+(((V$2-$B$2:V$2)-Inputs!$C$30)&lt;Inputs!$C$32)*((((V$2-$B$2:V$2)-Inputs!$C$30)/MAX(Inputs!$C$32,1)&gt;Inputs!$C$33)*((V$2-$B$2:V$2)-Inputs!$C$30)/MAX(Inputs!$C$32,1)+(((V$2-$B$2:V$2)-Inputs!$C$30)/MAX(Inputs!$C$32,1)&lt;=Inputs!$C$33)*Inputs!$C$33)),((1-Inputs!$C$34)^(1/12))^(V$2-$B$2:V$2))</f>
        <v>2.585321628</v>
      </c>
      <c r="W37" s="75">
        <f>SUMPRODUCT($B32:W32,((((W$2-$B$2:W$2)-Inputs!$C$30)&gt;=Inputs!$C$32)+(((W$2-$B$2:W$2)-Inputs!$C$30)&lt;Inputs!$C$32)*((((W$2-$B$2:W$2)-Inputs!$C$30)/MAX(Inputs!$C$32,1)&gt;Inputs!$C$33)*((W$2-$B$2:W$2)-Inputs!$C$30)/MAX(Inputs!$C$32,1)+(((W$2-$B$2:W$2)-Inputs!$C$30)/MAX(Inputs!$C$32,1)&lt;=Inputs!$C$33)*Inputs!$C$33)),((1-Inputs!$C$34)^(1/12))^(W$2-$B$2:W$2))</f>
        <v>2.537691032</v>
      </c>
      <c r="X37" s="75">
        <f>SUMPRODUCT($B32:X32,((((X$2-$B$2:X$2)-Inputs!$C$30)&gt;=Inputs!$C$32)+(((X$2-$B$2:X$2)-Inputs!$C$30)&lt;Inputs!$C$32)*((((X$2-$B$2:X$2)-Inputs!$C$30)/MAX(Inputs!$C$32,1)&gt;Inputs!$C$33)*((X$2-$B$2:X$2)-Inputs!$C$30)/MAX(Inputs!$C$32,1)+(((X$2-$B$2:X$2)-Inputs!$C$30)/MAX(Inputs!$C$32,1)&lt;=Inputs!$C$33)*Inputs!$C$33)),((1-Inputs!$C$34)^(1/12))^(X$2-$B$2:X$2))</f>
        <v>2.490937957</v>
      </c>
      <c r="Y37" s="75">
        <f>SUMPRODUCT($B32:Y32,((((Y$2-$B$2:Y$2)-Inputs!$C$30)&gt;=Inputs!$C$32)+(((Y$2-$B$2:Y$2)-Inputs!$C$30)&lt;Inputs!$C$32)*((((Y$2-$B$2:Y$2)-Inputs!$C$30)/MAX(Inputs!$C$32,1)&gt;Inputs!$C$33)*((Y$2-$B$2:Y$2)-Inputs!$C$30)/MAX(Inputs!$C$32,1)+(((Y$2-$B$2:Y$2)-Inputs!$C$30)/MAX(Inputs!$C$32,1)&lt;=Inputs!$C$33)*Inputs!$C$33)),((1-Inputs!$C$34)^(1/12))^(Y$2-$B$2:Y$2))</f>
        <v>2.445046236</v>
      </c>
      <c r="Z37" s="76"/>
      <c r="AA37" s="76"/>
    </row>
    <row r="38" hidden="1" outlineLevel="1">
      <c r="A38" s="6" t="s">
        <v>350</v>
      </c>
      <c r="B38" s="75">
        <f>Inputs!$C$31*((1-Inputs!$C$34)^(1/12))^B$2+B37</f>
        <v>3.926306119</v>
      </c>
      <c r="C38" s="75">
        <f>Inputs!$C$31*((1-Inputs!$C$34)^(1/12))^C$2+C37</f>
        <v>3.853969936</v>
      </c>
      <c r="D38" s="75">
        <f>Inputs!$C$31*((1-Inputs!$C$34)^(1/12))^D$2+D37</f>
        <v>3.782966436</v>
      </c>
      <c r="E38" s="75">
        <f>Inputs!$C$31*((1-Inputs!$C$34)^(1/12))^E$2+E37</f>
        <v>3.713271067</v>
      </c>
      <c r="F38" s="75">
        <f>Inputs!$C$31*((1-Inputs!$C$34)^(1/12))^F$2+F37</f>
        <v>3.644859728</v>
      </c>
      <c r="G38" s="75">
        <f>Inputs!$C$31*((1-Inputs!$C$34)^(1/12))^G$2+G37</f>
        <v>3.577708764</v>
      </c>
      <c r="H38" s="75">
        <f>Inputs!$C$31*((1-Inputs!$C$34)^(1/12))^H$2+H37</f>
        <v>3.511794953</v>
      </c>
      <c r="I38" s="75">
        <f>Inputs!$C$31*((1-Inputs!$C$34)^(1/12))^I$2+I37</f>
        <v>3.447095504</v>
      </c>
      <c r="J38" s="75">
        <f>Inputs!$C$31*((1-Inputs!$C$34)^(1/12))^J$2+J37</f>
        <v>3.383588043</v>
      </c>
      <c r="K38" s="75">
        <f>Inputs!$C$31*((1-Inputs!$C$34)^(1/12))^K$2+K37</f>
        <v>3.32125061</v>
      </c>
      <c r="L38" s="75">
        <f>Inputs!$C$31*((1-Inputs!$C$34)^(1/12))^L$2+L37</f>
        <v>3.260061648</v>
      </c>
      <c r="M38" s="75">
        <f>Inputs!$C$31*((1-Inputs!$C$34)^(1/12))^M$2+M37</f>
        <v>3.2</v>
      </c>
      <c r="N38" s="75">
        <f>Inputs!$C$31*((1-Inputs!$C$34)^(1/12))^N$2+N37</f>
        <v>3.141044896</v>
      </c>
      <c r="O38" s="75">
        <f>Inputs!$C$31*((1-Inputs!$C$34)^(1/12))^O$2+O37</f>
        <v>3.083175949</v>
      </c>
      <c r="P38" s="75">
        <f>Inputs!$C$31*((1-Inputs!$C$34)^(1/12))^P$2+P37</f>
        <v>3.026373149</v>
      </c>
      <c r="Q38" s="75">
        <f>Inputs!$C$31*((1-Inputs!$C$34)^(1/12))^Q$2+Q37</f>
        <v>2.970616854</v>
      </c>
      <c r="R38" s="75">
        <f>Inputs!$C$31*((1-Inputs!$C$34)^(1/12))^R$2+R37</f>
        <v>3.844205549</v>
      </c>
      <c r="S38" s="75">
        <f>Inputs!$C$31*((1-Inputs!$C$34)^(1/12))^S$2+S37</f>
        <v>4.684596875</v>
      </c>
      <c r="T38" s="75">
        <f>Inputs!$C$31*((1-Inputs!$C$34)^(1/12))^T$2+T37</f>
        <v>5.492717536</v>
      </c>
      <c r="U38" s="75">
        <f>Inputs!$C$31*((1-Inputs!$C$34)^(1/12))^U$2+U37</f>
        <v>5.391522618</v>
      </c>
      <c r="V38" s="75">
        <f>Inputs!$C$31*((1-Inputs!$C$34)^(1/12))^V$2+V37</f>
        <v>5.292192062</v>
      </c>
      <c r="W38" s="75">
        <f>Inputs!$C$31*((1-Inputs!$C$34)^(1/12))^W$2+W37</f>
        <v>5.19469152</v>
      </c>
      <c r="X38" s="75">
        <f>Inputs!$C$31*((1-Inputs!$C$34)^(1/12))^X$2+X37</f>
        <v>5.098987276</v>
      </c>
      <c r="Y38" s="75">
        <f>Inputs!$C$31*((1-Inputs!$C$34)^(1/12))^Y$2+Y37</f>
        <v>5.005046236</v>
      </c>
      <c r="Z38" s="76">
        <f>M38</f>
        <v>3.2</v>
      </c>
      <c r="AA38" s="76">
        <f>Y38</f>
        <v>5.005046236</v>
      </c>
    </row>
    <row r="39" hidden="1" outlineLevel="1">
      <c r="A39" s="6" t="s">
        <v>351</v>
      </c>
      <c r="B39" s="70">
        <f>'Rep capacity'!$C$13</f>
        <v>60000</v>
      </c>
      <c r="C39" s="70">
        <f>'Rep capacity'!$C$13</f>
        <v>60000</v>
      </c>
      <c r="D39" s="70">
        <f>'Rep capacity'!$C$13</f>
        <v>60000</v>
      </c>
      <c r="E39" s="70">
        <f>'Rep capacity'!$C$13</f>
        <v>60000</v>
      </c>
      <c r="F39" s="70">
        <f>'Rep capacity'!$C$13</f>
        <v>60000</v>
      </c>
      <c r="G39" s="70">
        <f>'Rep capacity'!$C$13</f>
        <v>60000</v>
      </c>
      <c r="H39" s="70">
        <f>'Rep capacity'!$C$13</f>
        <v>60000</v>
      </c>
      <c r="I39" s="70">
        <f>'Rep capacity'!$C$13</f>
        <v>60000</v>
      </c>
      <c r="J39" s="70">
        <f>'Rep capacity'!$C$13</f>
        <v>60000</v>
      </c>
      <c r="K39" s="70">
        <f>'Rep capacity'!$C$13</f>
        <v>60000</v>
      </c>
      <c r="L39" s="70">
        <f>'Rep capacity'!$C$13</f>
        <v>60000</v>
      </c>
      <c r="M39" s="70">
        <f>'Rep capacity'!$C$13</f>
        <v>60000</v>
      </c>
      <c r="N39" s="70">
        <f>'Rep capacity'!$C$13</f>
        <v>60000</v>
      </c>
      <c r="O39" s="70">
        <f>'Rep capacity'!$C$13</f>
        <v>60000</v>
      </c>
      <c r="P39" s="70">
        <f>'Rep capacity'!$C$13</f>
        <v>60000</v>
      </c>
      <c r="Q39" s="70">
        <f>'Rep capacity'!$C$13</f>
        <v>60000</v>
      </c>
      <c r="R39" s="70">
        <f>'Rep capacity'!$C$13</f>
        <v>60000</v>
      </c>
      <c r="S39" s="70">
        <f>'Rep capacity'!$C$13</f>
        <v>60000</v>
      </c>
      <c r="T39" s="70">
        <f>'Rep capacity'!$C$13</f>
        <v>60000</v>
      </c>
      <c r="U39" s="70">
        <f>'Rep capacity'!$C$13</f>
        <v>60000</v>
      </c>
      <c r="V39" s="70">
        <f>'Rep capacity'!$C$13</f>
        <v>60000</v>
      </c>
      <c r="W39" s="70">
        <f>'Rep capacity'!$C$13</f>
        <v>60000</v>
      </c>
      <c r="X39" s="70">
        <f>'Rep capacity'!$C$13</f>
        <v>60000</v>
      </c>
      <c r="Y39" s="70">
        <f>'Rep capacity'!$C$13</f>
        <v>60000</v>
      </c>
      <c r="Z39" s="71"/>
      <c r="AA39" s="71"/>
    </row>
    <row r="40" hidden="1" outlineLevel="1">
      <c r="A40" s="12" t="s">
        <v>352</v>
      </c>
      <c r="B40" s="71">
        <f>B38*B39*Inputs!$C$28</f>
        <v>188462.6937</v>
      </c>
      <c r="C40" s="71">
        <f>C38*C39*Inputs!$C$28</f>
        <v>184990.5569</v>
      </c>
      <c r="D40" s="71">
        <f>D38*D39*Inputs!$C$28</f>
        <v>181582.3889</v>
      </c>
      <c r="E40" s="71">
        <f>E38*E39*Inputs!$C$28</f>
        <v>178237.0112</v>
      </c>
      <c r="F40" s="71">
        <f>F38*F39*Inputs!$C$28</f>
        <v>174953.267</v>
      </c>
      <c r="G40" s="71">
        <f>G38*G39*Inputs!$C$28</f>
        <v>171730.0207</v>
      </c>
      <c r="H40" s="71">
        <f>H38*H39*Inputs!$C$28</f>
        <v>168566.1578</v>
      </c>
      <c r="I40" s="71">
        <f>I38*I39*Inputs!$C$28</f>
        <v>165460.5842</v>
      </c>
      <c r="J40" s="71">
        <f>J38*J39*Inputs!$C$28</f>
        <v>162412.2261</v>
      </c>
      <c r="K40" s="71">
        <f>K38*K39*Inputs!$C$28</f>
        <v>159420.0293</v>
      </c>
      <c r="L40" s="71">
        <f>L38*L39*Inputs!$C$28</f>
        <v>156482.9591</v>
      </c>
      <c r="M40" s="71">
        <f>M38*M39*Inputs!$C$28</f>
        <v>153600</v>
      </c>
      <c r="N40" s="71">
        <f>N38*N39*Inputs!$C$28</f>
        <v>150770.155</v>
      </c>
      <c r="O40" s="71">
        <f>O38*O39*Inputs!$C$28</f>
        <v>147992.4455</v>
      </c>
      <c r="P40" s="71">
        <f>P38*P39*Inputs!$C$28</f>
        <v>145265.9111</v>
      </c>
      <c r="Q40" s="71">
        <f>Q38*Q39*Inputs!$C$28</f>
        <v>142589.609</v>
      </c>
      <c r="R40" s="71">
        <f>R38*R39*Inputs!$C$28</f>
        <v>184521.8664</v>
      </c>
      <c r="S40" s="71">
        <f>S38*S39*Inputs!$C$28</f>
        <v>224860.65</v>
      </c>
      <c r="T40" s="71">
        <f>T38*T39*Inputs!$C$28</f>
        <v>263650.4417</v>
      </c>
      <c r="U40" s="71">
        <f>U38*U39*Inputs!$C$28</f>
        <v>258793.0857</v>
      </c>
      <c r="V40" s="71">
        <f>V38*V39*Inputs!$C$28</f>
        <v>254025.219</v>
      </c>
      <c r="W40" s="71">
        <f>W38*W39*Inputs!$C$28</f>
        <v>249345.193</v>
      </c>
      <c r="X40" s="71">
        <f>X38*X39*Inputs!$C$28</f>
        <v>244751.3893</v>
      </c>
      <c r="Y40" s="71">
        <f>Y38*Y39*Inputs!$C$28</f>
        <v>240242.2193</v>
      </c>
      <c r="Z40" s="71">
        <f t="shared" ref="Z40:Z41" si="12">SUM(B40:M40)</f>
        <v>2045897.895</v>
      </c>
      <c r="AA40" s="71">
        <f t="shared" ref="AA40:AA41" si="13">SUM(N40:Y40)</f>
        <v>2506808.185</v>
      </c>
    </row>
    <row r="41" hidden="1" outlineLevel="1">
      <c r="A41" s="38" t="s">
        <v>353</v>
      </c>
      <c r="B41" s="77">
        <f>SUMPRODUCT($B32:B32,((((B$2-$B$2:B$2)-Inputs!$C$30)&lt;Inputs!$C$32)*(Inputs!$C$33&gt;((((B$2-$B$2:B$2)-Inputs!$C$30)&gt;0)*((B$2-$B$2:B$2)-Inputs!$C$30)/MAX(Inputs!$C$32,1)))*(Inputs!$C$33-((((B$2-$B$2:B$2)-Inputs!$C$30)&gt;0)*((B$2-$B$2:B$2)-Inputs!$C$30)/MAX(Inputs!$C$32,1)))),((1-Inputs!$C$34)^(1/12))^(B$2-$B$2:B$2))*B39*Inputs!$C$28</f>
        <v>0</v>
      </c>
      <c r="C41" s="77">
        <f>SUMPRODUCT($B32:C32,((((C$2-$B$2:C$2)-Inputs!$C$30)&lt;Inputs!$C$32)*(Inputs!$C$33&gt;((((C$2-$B$2:C$2)-Inputs!$C$30)&gt;0)*((C$2-$B$2:C$2)-Inputs!$C$30)/MAX(Inputs!$C$32,1)))*(Inputs!$C$33-((((C$2-$B$2:C$2)-Inputs!$C$30)&gt;0)*((C$2-$B$2:C$2)-Inputs!$C$30)/MAX(Inputs!$C$32,1)))),((1-Inputs!$C$34)^(1/12))^(C$2-$B$2:C$2))*C39*Inputs!$C$28</f>
        <v>0</v>
      </c>
      <c r="D41" s="77">
        <f>SUMPRODUCT($B32:D32,((((D$2-$B$2:D$2)-Inputs!$C$30)&lt;Inputs!$C$32)*(Inputs!$C$33&gt;((((D$2-$B$2:D$2)-Inputs!$C$30)&gt;0)*((D$2-$B$2:D$2)-Inputs!$C$30)/MAX(Inputs!$C$32,1)))*(Inputs!$C$33-((((D$2-$B$2:D$2)-Inputs!$C$30)&gt;0)*((D$2-$B$2:D$2)-Inputs!$C$30)/MAX(Inputs!$C$32,1)))),((1-Inputs!$C$34)^(1/12))^(D$2-$B$2:D$2))*D39*Inputs!$C$28</f>
        <v>0</v>
      </c>
      <c r="E41" s="77">
        <f>SUMPRODUCT($B32:E32,((((E$2-$B$2:E$2)-Inputs!$C$30)&lt;Inputs!$C$32)*(Inputs!$C$33&gt;((((E$2-$B$2:E$2)-Inputs!$C$30)&gt;0)*((E$2-$B$2:E$2)-Inputs!$C$30)/MAX(Inputs!$C$32,1)))*(Inputs!$C$33-((((E$2-$B$2:E$2)-Inputs!$C$30)&gt;0)*((E$2-$B$2:E$2)-Inputs!$C$30)/MAX(Inputs!$C$32,1)))),((1-Inputs!$C$34)^(1/12))^(E$2-$B$2:E$2))*E39*Inputs!$C$28</f>
        <v>0</v>
      </c>
      <c r="F41" s="77">
        <f>SUMPRODUCT($B32:F32,((((F$2-$B$2:F$2)-Inputs!$C$30)&lt;Inputs!$C$32)*(Inputs!$C$33&gt;((((F$2-$B$2:F$2)-Inputs!$C$30)&gt;0)*((F$2-$B$2:F$2)-Inputs!$C$30)/MAX(Inputs!$C$32,1)))*(Inputs!$C$33-((((F$2-$B$2:F$2)-Inputs!$C$30)&gt;0)*((F$2-$B$2:F$2)-Inputs!$C$30)/MAX(Inputs!$C$32,1)))),((1-Inputs!$C$34)^(1/12))^(F$2-$B$2:F$2))*F39*Inputs!$C$28</f>
        <v>0</v>
      </c>
      <c r="G41" s="77">
        <f>SUMPRODUCT($B32:G32,((((G$2-$B$2:G$2)-Inputs!$C$30)&lt;Inputs!$C$32)*(Inputs!$C$33&gt;((((G$2-$B$2:G$2)-Inputs!$C$30)&gt;0)*((G$2-$B$2:G$2)-Inputs!$C$30)/MAX(Inputs!$C$32,1)))*(Inputs!$C$33-((((G$2-$B$2:G$2)-Inputs!$C$30)&gt;0)*((G$2-$B$2:G$2)-Inputs!$C$30)/MAX(Inputs!$C$32,1)))),((1-Inputs!$C$34)^(1/12))^(G$2-$B$2:G$2))*G39*Inputs!$C$28</f>
        <v>0</v>
      </c>
      <c r="H41" s="77">
        <f>SUMPRODUCT($B32:H32,((((H$2-$B$2:H$2)-Inputs!$C$30)&lt;Inputs!$C$32)*(Inputs!$C$33&gt;((((H$2-$B$2:H$2)-Inputs!$C$30)&gt;0)*((H$2-$B$2:H$2)-Inputs!$C$30)/MAX(Inputs!$C$32,1)))*(Inputs!$C$33-((((H$2-$B$2:H$2)-Inputs!$C$30)&gt;0)*((H$2-$B$2:H$2)-Inputs!$C$30)/MAX(Inputs!$C$32,1)))),((1-Inputs!$C$34)^(1/12))^(H$2-$B$2:H$2))*H39*Inputs!$C$28</f>
        <v>0</v>
      </c>
      <c r="I41" s="77">
        <f>SUMPRODUCT($B32:I32,((((I$2-$B$2:I$2)-Inputs!$C$30)&lt;Inputs!$C$32)*(Inputs!$C$33&gt;((((I$2-$B$2:I$2)-Inputs!$C$30)&gt;0)*((I$2-$B$2:I$2)-Inputs!$C$30)/MAX(Inputs!$C$32,1)))*(Inputs!$C$33-((((I$2-$B$2:I$2)-Inputs!$C$30)&gt;0)*((I$2-$B$2:I$2)-Inputs!$C$30)/MAX(Inputs!$C$32,1)))),((1-Inputs!$C$34)^(1/12))^(I$2-$B$2:I$2))*I39*Inputs!$C$28</f>
        <v>0</v>
      </c>
      <c r="J41" s="77">
        <f>SUMPRODUCT($B32:J32,((((J$2-$B$2:J$2)-Inputs!$C$30)&lt;Inputs!$C$32)*(Inputs!$C$33&gt;((((J$2-$B$2:J$2)-Inputs!$C$30)&gt;0)*((J$2-$B$2:J$2)-Inputs!$C$30)/MAX(Inputs!$C$32,1)))*(Inputs!$C$33-((((J$2-$B$2:J$2)-Inputs!$C$30)&gt;0)*((J$2-$B$2:J$2)-Inputs!$C$30)/MAX(Inputs!$C$32,1)))),((1-Inputs!$C$34)^(1/12))^(J$2-$B$2:J$2))*J39*Inputs!$C$28</f>
        <v>0</v>
      </c>
      <c r="K41" s="77">
        <f>SUMPRODUCT($B32:K32,((((K$2-$B$2:K$2)-Inputs!$C$30)&lt;Inputs!$C$32)*(Inputs!$C$33&gt;((((K$2-$B$2:K$2)-Inputs!$C$30)&gt;0)*((K$2-$B$2:K$2)-Inputs!$C$30)/MAX(Inputs!$C$32,1)))*(Inputs!$C$33-((((K$2-$B$2:K$2)-Inputs!$C$30)&gt;0)*((K$2-$B$2:K$2)-Inputs!$C$30)/MAX(Inputs!$C$32,1)))),((1-Inputs!$C$34)^(1/12))^(K$2-$B$2:K$2))*K39*Inputs!$C$28</f>
        <v>0</v>
      </c>
      <c r="L41" s="77">
        <f>SUMPRODUCT($B32:L32,((((L$2-$B$2:L$2)-Inputs!$C$30)&lt;Inputs!$C$32)*(Inputs!$C$33&gt;((((L$2-$B$2:L$2)-Inputs!$C$30)&gt;0)*((L$2-$B$2:L$2)-Inputs!$C$30)/MAX(Inputs!$C$32,1)))*(Inputs!$C$33-((((L$2-$B$2:L$2)-Inputs!$C$30)&gt;0)*((L$2-$B$2:L$2)-Inputs!$C$30)/MAX(Inputs!$C$32,1)))),((1-Inputs!$C$34)^(1/12))^(L$2-$B$2:L$2))*L39*Inputs!$C$28</f>
        <v>0</v>
      </c>
      <c r="M41" s="77">
        <f>SUMPRODUCT($B32:M32,((((M$2-$B$2:M$2)-Inputs!$C$30)&lt;Inputs!$C$32)*(Inputs!$C$33&gt;((((M$2-$B$2:M$2)-Inputs!$C$30)&gt;0)*((M$2-$B$2:M$2)-Inputs!$C$30)/MAX(Inputs!$C$32,1)))*(Inputs!$C$33-((((M$2-$B$2:M$2)-Inputs!$C$30)&gt;0)*((M$2-$B$2:M$2)-Inputs!$C$30)/MAX(Inputs!$C$32,1)))),((1-Inputs!$C$34)^(1/12))^(M$2-$B$2:M$2))*M39*Inputs!$C$28</f>
        <v>0</v>
      </c>
      <c r="N41" s="77">
        <f>SUMPRODUCT($B32:N32,((((N$2-$B$2:N$2)-Inputs!$C$30)&lt;Inputs!$C$32)*(Inputs!$C$33&gt;((((N$2-$B$2:N$2)-Inputs!$C$30)&gt;0)*((N$2-$B$2:N$2)-Inputs!$C$30)/MAX(Inputs!$C$32,1)))*(Inputs!$C$33-((((N$2-$B$2:N$2)-Inputs!$C$30)&gt;0)*((N$2-$B$2:N$2)-Inputs!$C$30)/MAX(Inputs!$C$32,1)))),((1-Inputs!$C$34)^(1/12))^(N$2-$B$2:N$2))*N39*Inputs!$C$28</f>
        <v>0</v>
      </c>
      <c r="O41" s="77">
        <f>SUMPRODUCT($B32:O32,((((O$2-$B$2:O$2)-Inputs!$C$30)&lt;Inputs!$C$32)*(Inputs!$C$33&gt;((((O$2-$B$2:O$2)-Inputs!$C$30)&gt;0)*((O$2-$B$2:O$2)-Inputs!$C$30)/MAX(Inputs!$C$32,1)))*(Inputs!$C$33-((((O$2-$B$2:O$2)-Inputs!$C$30)&gt;0)*((O$2-$B$2:O$2)-Inputs!$C$30)/MAX(Inputs!$C$32,1)))),((1-Inputs!$C$34)^(1/12))^(O$2-$B$2:O$2))*O39*Inputs!$C$28</f>
        <v>0</v>
      </c>
      <c r="P41" s="77">
        <f>SUMPRODUCT($B32:P32,((((P$2-$B$2:P$2)-Inputs!$C$30)&lt;Inputs!$C$32)*(Inputs!$C$33&gt;((((P$2-$B$2:P$2)-Inputs!$C$30)&gt;0)*((P$2-$B$2:P$2)-Inputs!$C$30)/MAX(Inputs!$C$32,1)))*(Inputs!$C$33-((((P$2-$B$2:P$2)-Inputs!$C$30)&gt;0)*((P$2-$B$2:P$2)-Inputs!$C$30)/MAX(Inputs!$C$32,1)))),((1-Inputs!$C$34)^(1/12))^(P$2-$B$2:P$2))*P39*Inputs!$C$28</f>
        <v>0</v>
      </c>
      <c r="Q41" s="77">
        <f>SUMPRODUCT($B32:Q32,((((Q$2-$B$2:Q$2)-Inputs!$C$30)&lt;Inputs!$C$32)*(Inputs!$C$33&gt;((((Q$2-$B$2:Q$2)-Inputs!$C$30)&gt;0)*((Q$2-$B$2:Q$2)-Inputs!$C$30)/MAX(Inputs!$C$32,1)))*(Inputs!$C$33-((((Q$2-$B$2:Q$2)-Inputs!$C$30)&gt;0)*((Q$2-$B$2:Q$2)-Inputs!$C$30)/MAX(Inputs!$C$32,1)))),((1-Inputs!$C$34)^(1/12))^(Q$2-$B$2:Q$2))*Q39*Inputs!$C$28</f>
        <v>0</v>
      </c>
      <c r="R41" s="77">
        <f>SUMPRODUCT($B32:R32,((((R$2-$B$2:R$2)-Inputs!$C$30)&lt;Inputs!$C$32)*(Inputs!$C$33&gt;((((R$2-$B$2:R$2)-Inputs!$C$30)&gt;0)*((R$2-$B$2:R$2)-Inputs!$C$30)/MAX(Inputs!$C$32,1)))*(Inputs!$C$33-((((R$2-$B$2:R$2)-Inputs!$C$30)&gt;0)*((R$2-$B$2:R$2)-Inputs!$C$30)/MAX(Inputs!$C$32,1)))),((1-Inputs!$C$34)^(1/12))^(R$2-$B$2:R$2))*R39*Inputs!$C$28</f>
        <v>0</v>
      </c>
      <c r="S41" s="77">
        <f>SUMPRODUCT($B32:S32,((((S$2-$B$2:S$2)-Inputs!$C$30)&lt;Inputs!$C$32)*(Inputs!$C$33&gt;((((S$2-$B$2:S$2)-Inputs!$C$30)&gt;0)*((S$2-$B$2:S$2)-Inputs!$C$30)/MAX(Inputs!$C$32,1)))*(Inputs!$C$33-((((S$2-$B$2:S$2)-Inputs!$C$30)&gt;0)*((S$2-$B$2:S$2)-Inputs!$C$30)/MAX(Inputs!$C$32,1)))),((1-Inputs!$C$34)^(1/12))^(S$2-$B$2:S$2))*S39*Inputs!$C$28</f>
        <v>0</v>
      </c>
      <c r="T41" s="77">
        <f>SUMPRODUCT($B32:T32,((((T$2-$B$2:T$2)-Inputs!$C$30)&lt;Inputs!$C$32)*(Inputs!$C$33&gt;((((T$2-$B$2:T$2)-Inputs!$C$30)&gt;0)*((T$2-$B$2:T$2)-Inputs!$C$30)/MAX(Inputs!$C$32,1)))*(Inputs!$C$33-((((T$2-$B$2:T$2)-Inputs!$C$30)&gt;0)*((T$2-$B$2:T$2)-Inputs!$C$30)/MAX(Inputs!$C$32,1)))),((1-Inputs!$C$34)^(1/12))^(T$2-$B$2:T$2))*T39*Inputs!$C$28</f>
        <v>0</v>
      </c>
      <c r="U41" s="77">
        <f>SUMPRODUCT($B32:U32,((((U$2-$B$2:U$2)-Inputs!$C$30)&lt;Inputs!$C$32)*(Inputs!$C$33&gt;((((U$2-$B$2:U$2)-Inputs!$C$30)&gt;0)*((U$2-$B$2:U$2)-Inputs!$C$30)/MAX(Inputs!$C$32,1)))*(Inputs!$C$33-((((U$2-$B$2:U$2)-Inputs!$C$30)&gt;0)*((U$2-$B$2:U$2)-Inputs!$C$30)/MAX(Inputs!$C$32,1)))),((1-Inputs!$C$34)^(1/12))^(U$2-$B$2:U$2))*U39*Inputs!$C$28</f>
        <v>0</v>
      </c>
      <c r="V41" s="77">
        <f>SUMPRODUCT($B32:V32,((((V$2-$B$2:V$2)-Inputs!$C$30)&lt;Inputs!$C$32)*(Inputs!$C$33&gt;((((V$2-$B$2:V$2)-Inputs!$C$30)&gt;0)*((V$2-$B$2:V$2)-Inputs!$C$30)/MAX(Inputs!$C$32,1)))*(Inputs!$C$33-((((V$2-$B$2:V$2)-Inputs!$C$30)&gt;0)*((V$2-$B$2:V$2)-Inputs!$C$30)/MAX(Inputs!$C$32,1)))),((1-Inputs!$C$34)^(1/12))^(V$2-$B$2:V$2))*V39*Inputs!$C$28</f>
        <v>0</v>
      </c>
      <c r="W41" s="77">
        <f>SUMPRODUCT($B32:W32,((((W$2-$B$2:W$2)-Inputs!$C$30)&lt;Inputs!$C$32)*(Inputs!$C$33&gt;((((W$2-$B$2:W$2)-Inputs!$C$30)&gt;0)*((W$2-$B$2:W$2)-Inputs!$C$30)/MAX(Inputs!$C$32,1)))*(Inputs!$C$33-((((W$2-$B$2:W$2)-Inputs!$C$30)&gt;0)*((W$2-$B$2:W$2)-Inputs!$C$30)/MAX(Inputs!$C$32,1)))),((1-Inputs!$C$34)^(1/12))^(W$2-$B$2:W$2))*W39*Inputs!$C$28</f>
        <v>0</v>
      </c>
      <c r="X41" s="77">
        <f>SUMPRODUCT($B32:X32,((((X$2-$B$2:X$2)-Inputs!$C$30)&lt;Inputs!$C$32)*(Inputs!$C$33&gt;((((X$2-$B$2:X$2)-Inputs!$C$30)&gt;0)*((X$2-$B$2:X$2)-Inputs!$C$30)/MAX(Inputs!$C$32,1)))*(Inputs!$C$33-((((X$2-$B$2:X$2)-Inputs!$C$30)&gt;0)*((X$2-$B$2:X$2)-Inputs!$C$30)/MAX(Inputs!$C$32,1)))),((1-Inputs!$C$34)^(1/12))^(X$2-$B$2:X$2))*X39*Inputs!$C$28</f>
        <v>0</v>
      </c>
      <c r="Y41" s="77">
        <f>SUMPRODUCT($B32:Y32,((((Y$2-$B$2:Y$2)-Inputs!$C$30)&lt;Inputs!$C$32)*(Inputs!$C$33&gt;((((Y$2-$B$2:Y$2)-Inputs!$C$30)&gt;0)*((Y$2-$B$2:Y$2)-Inputs!$C$30)/MAX(Inputs!$C$32,1)))*(Inputs!$C$33-((((Y$2-$B$2:Y$2)-Inputs!$C$30)&gt;0)*((Y$2-$B$2:Y$2)-Inputs!$C$30)/MAX(Inputs!$C$32,1)))),((1-Inputs!$C$34)^(1/12))^(Y$2-$B$2:Y$2))*Y39*Inputs!$C$28</f>
        <v>0</v>
      </c>
      <c r="Z41" s="78">
        <f t="shared" si="12"/>
        <v>0</v>
      </c>
      <c r="AA41" s="78">
        <f t="shared" si="13"/>
        <v>0</v>
      </c>
    </row>
    <row r="42" hidden="1" outlineLevel="1">
      <c r="A42" s="79" t="s">
        <v>354</v>
      </c>
      <c r="B42" s="80"/>
      <c r="C42" s="80"/>
      <c r="D42" s="80"/>
      <c r="E42" s="80"/>
      <c r="F42" s="80"/>
      <c r="G42" s="80"/>
      <c r="H42" s="80"/>
      <c r="I42" s="80"/>
      <c r="J42" s="80"/>
      <c r="K42" s="80"/>
      <c r="L42" s="80"/>
      <c r="M42" s="80"/>
      <c r="N42" s="80"/>
      <c r="O42" s="80"/>
      <c r="P42" s="80"/>
      <c r="Q42" s="80"/>
      <c r="R42" s="80"/>
      <c r="S42" s="80"/>
      <c r="T42" s="80"/>
      <c r="U42" s="80"/>
      <c r="V42" s="80"/>
      <c r="W42" s="80"/>
      <c r="X42" s="80"/>
      <c r="Y42" s="80"/>
      <c r="Z42" s="80"/>
      <c r="AA42" s="80"/>
    </row>
    <row r="43" hidden="1" outlineLevel="1">
      <c r="A43" s="6" t="s">
        <v>355</v>
      </c>
      <c r="B43" s="73">
        <f>Inputs!J$68</f>
        <v>0</v>
      </c>
      <c r="C43" s="73">
        <f>Inputs!K$68</f>
        <v>0</v>
      </c>
      <c r="D43" s="73">
        <f>Inputs!L$68</f>
        <v>0</v>
      </c>
      <c r="E43" s="73">
        <f>Inputs!M$68</f>
        <v>0</v>
      </c>
      <c r="F43" s="73">
        <f>Inputs!N$68</f>
        <v>0</v>
      </c>
      <c r="G43" s="73">
        <f>Inputs!O$68</f>
        <v>0</v>
      </c>
      <c r="H43" s="73">
        <f>Inputs!P$68</f>
        <v>0</v>
      </c>
      <c r="I43" s="73">
        <f>Inputs!Q$68</f>
        <v>0</v>
      </c>
      <c r="J43" s="73">
        <f>Inputs!R$68</f>
        <v>0</v>
      </c>
      <c r="K43" s="73">
        <f>Inputs!S$68</f>
        <v>0</v>
      </c>
      <c r="L43" s="73">
        <f>Inputs!T$68</f>
        <v>0</v>
      </c>
      <c r="M43" s="73">
        <f>Inputs!U$68</f>
        <v>0</v>
      </c>
      <c r="N43" s="73">
        <f>Inputs!V$68</f>
        <v>3</v>
      </c>
      <c r="O43" s="73">
        <f>Inputs!W$68</f>
        <v>0</v>
      </c>
      <c r="P43" s="73">
        <f>Inputs!X$68</f>
        <v>0</v>
      </c>
      <c r="Q43" s="73">
        <f>Inputs!Y$68</f>
        <v>0</v>
      </c>
      <c r="R43" s="73">
        <f>Inputs!Z$68</f>
        <v>0</v>
      </c>
      <c r="S43" s="73">
        <f>Inputs!AA$68</f>
        <v>0</v>
      </c>
      <c r="T43" s="73">
        <f>Inputs!AB$68</f>
        <v>0</v>
      </c>
      <c r="U43" s="73">
        <f>Inputs!AC$68</f>
        <v>0</v>
      </c>
      <c r="V43" s="73">
        <f>Inputs!AD$68</f>
        <v>0</v>
      </c>
      <c r="W43" s="73">
        <f>Inputs!AE$68</f>
        <v>0</v>
      </c>
      <c r="X43" s="73">
        <f>Inputs!AF$68</f>
        <v>0</v>
      </c>
      <c r="Y43" s="73">
        <f>Inputs!AG$68</f>
        <v>0</v>
      </c>
      <c r="Z43" s="72">
        <f>SUM(B43:M43)</f>
        <v>0</v>
      </c>
      <c r="AA43" s="72">
        <f>SUM(N43:Y43)</f>
        <v>3</v>
      </c>
    </row>
    <row r="44" hidden="1" outlineLevel="1">
      <c r="A44" s="6" t="s">
        <v>345</v>
      </c>
      <c r="B44" s="75">
        <f>IF(B$2=1,Inputs!$C$31,A46)</f>
        <v>4</v>
      </c>
      <c r="C44" s="75">
        <f>IF(C$2=1,Inputs!$C$31,B46)</f>
        <v>3.926306119</v>
      </c>
      <c r="D44" s="75">
        <f>IF(D$2=1,Inputs!$C$31,C46)</f>
        <v>3.853969936</v>
      </c>
      <c r="E44" s="75">
        <f>IF(E$2=1,Inputs!$C$31,D46)</f>
        <v>3.782966436</v>
      </c>
      <c r="F44" s="75">
        <f>IF(F$2=1,Inputs!$C$31,E46)</f>
        <v>3.713271067</v>
      </c>
      <c r="G44" s="75">
        <f>IF(G$2=1,Inputs!$C$31,F46)</f>
        <v>3.644859728</v>
      </c>
      <c r="H44" s="75">
        <f>IF(H$2=1,Inputs!$C$31,G46)</f>
        <v>3.577708764</v>
      </c>
      <c r="I44" s="75">
        <f>IF(I$2=1,Inputs!$C$31,H46)</f>
        <v>3.511794953</v>
      </c>
      <c r="J44" s="75">
        <f>IF(J$2=1,Inputs!$C$31,I46)</f>
        <v>3.447095504</v>
      </c>
      <c r="K44" s="75">
        <f>IF(K$2=1,Inputs!$C$31,J46)</f>
        <v>3.383588043</v>
      </c>
      <c r="L44" s="75">
        <f>IF(L$2=1,Inputs!$C$31,K46)</f>
        <v>3.32125061</v>
      </c>
      <c r="M44" s="75">
        <f>IF(M$2=1,Inputs!$C$31,L46)</f>
        <v>3.260061648</v>
      </c>
      <c r="N44" s="75">
        <f>IF(N$2=1,Inputs!$C$31,M46)</f>
        <v>3.2</v>
      </c>
      <c r="O44" s="75">
        <f>IF(O$2=1,Inputs!$C$31,N46)</f>
        <v>6.141044896</v>
      </c>
      <c r="P44" s="75">
        <f>IF(P$2=1,Inputs!$C$31,O46)</f>
        <v>6.027905538</v>
      </c>
      <c r="Q44" s="75">
        <f>IF(Q$2=1,Inputs!$C$31,P46)</f>
        <v>5.916850601</v>
      </c>
      <c r="R44" s="75">
        <f>IF(R$2=1,Inputs!$C$31,Q46)</f>
        <v>5.807841681</v>
      </c>
      <c r="S44" s="75">
        <f>IF(S$2=1,Inputs!$C$31,R46)</f>
        <v>5.700841083</v>
      </c>
      <c r="T44" s="75">
        <f>IF(T$2=1,Inputs!$C$31,S46)</f>
        <v>5.595811807</v>
      </c>
      <c r="U44" s="75">
        <f>IF(U$2=1,Inputs!$C$31,T46)</f>
        <v>5.492717536</v>
      </c>
      <c r="V44" s="75">
        <f>IF(V$2=1,Inputs!$C$31,U46)</f>
        <v>5.391522618</v>
      </c>
      <c r="W44" s="75">
        <f>IF(W$2=1,Inputs!$C$31,V46)</f>
        <v>5.292192062</v>
      </c>
      <c r="X44" s="75">
        <f>IF(X$2=1,Inputs!$C$31,W46)</f>
        <v>5.19469152</v>
      </c>
      <c r="Y44" s="75">
        <f>IF(Y$2=1,Inputs!$C$31,X46)</f>
        <v>5.098987276</v>
      </c>
      <c r="Z44" s="76"/>
      <c r="AA44" s="76"/>
    </row>
    <row r="45" hidden="1" outlineLevel="1">
      <c r="A45" s="6" t="s">
        <v>356</v>
      </c>
      <c r="B45" s="75">
        <f>B44*(1-((1-Inputs!$F$34)^(1/12)))</f>
        <v>0.0736938805</v>
      </c>
      <c r="C45" s="75">
        <f>C44*(1-((1-Inputs!$F$34)^(1/12)))</f>
        <v>0.0723361835</v>
      </c>
      <c r="D45" s="75">
        <f>D44*(1-((1-Inputs!$F$34)^(1/12)))</f>
        <v>0.07100349998</v>
      </c>
      <c r="E45" s="75">
        <f>E44*(1-((1-Inputs!$F$34)^(1/12)))</f>
        <v>0.06969536912</v>
      </c>
      <c r="F45" s="75">
        <f>F44*(1-((1-Inputs!$F$34)^(1/12)))</f>
        <v>0.06841133857</v>
      </c>
      <c r="G45" s="75">
        <f>G44*(1-((1-Inputs!$F$34)^(1/12)))</f>
        <v>0.06715096432</v>
      </c>
      <c r="H45" s="75">
        <f>H44*(1-((1-Inputs!$F$34)^(1/12)))</f>
        <v>0.06591381053</v>
      </c>
      <c r="I45" s="75">
        <f>I44*(1-((1-Inputs!$F$34)^(1/12)))</f>
        <v>0.06469944941</v>
      </c>
      <c r="J45" s="75">
        <f>J44*(1-((1-Inputs!$F$34)^(1/12)))</f>
        <v>0.06350746104</v>
      </c>
      <c r="K45" s="75">
        <f>K44*(1-((1-Inputs!$F$34)^(1/12)))</f>
        <v>0.06233743323</v>
      </c>
      <c r="L45" s="75">
        <f>L44*(1-((1-Inputs!$F$34)^(1/12)))</f>
        <v>0.06118896139</v>
      </c>
      <c r="M45" s="75">
        <f>M44*(1-((1-Inputs!$F$34)^(1/12)))</f>
        <v>0.06006164839</v>
      </c>
      <c r="N45" s="75">
        <f>N44*(1-((1-Inputs!$F$34)^(1/12)))</f>
        <v>0.0589551044</v>
      </c>
      <c r="O45" s="75">
        <f>O44*(1-((1-Inputs!$F$34)^(1/12)))</f>
        <v>0.1131393572</v>
      </c>
      <c r="P45" s="75">
        <f>P44*(1-((1-Inputs!$F$34)^(1/12)))</f>
        <v>0.1110549376</v>
      </c>
      <c r="Q45" s="75">
        <f>Q44*(1-((1-Inputs!$F$34)^(1/12)))</f>
        <v>0.1090089203</v>
      </c>
      <c r="R45" s="75">
        <f>R44*(1-((1-Inputs!$F$34)^(1/12)))</f>
        <v>0.1070005977</v>
      </c>
      <c r="S45" s="75">
        <f>S44*(1-((1-Inputs!$F$34)^(1/12)))</f>
        <v>0.1050292754</v>
      </c>
      <c r="T45" s="75">
        <f>T44*(1-((1-Inputs!$F$34)^(1/12)))</f>
        <v>0.1030942717</v>
      </c>
      <c r="U45" s="75">
        <f>U44*(1-((1-Inputs!$F$34)^(1/12)))</f>
        <v>0.1011949174</v>
      </c>
      <c r="V45" s="75">
        <f>V44*(1-((1-Inputs!$F$34)^(1/12)))</f>
        <v>0.09933055589</v>
      </c>
      <c r="W45" s="75">
        <f>W44*(1-((1-Inputs!$F$34)^(1/12)))</f>
        <v>0.09750054236</v>
      </c>
      <c r="X45" s="75">
        <f>X44*(1-((1-Inputs!$F$34)^(1/12)))</f>
        <v>0.09570424404</v>
      </c>
      <c r="Y45" s="75">
        <f>Y44*(1-((1-Inputs!$F$34)^(1/12)))</f>
        <v>0.09394103975</v>
      </c>
      <c r="Z45" s="76">
        <f>SUM(B45:M45)</f>
        <v>0.8</v>
      </c>
      <c r="AA45" s="76">
        <f>SUM(N45:Y45)</f>
        <v>1.194953764</v>
      </c>
    </row>
    <row r="46" hidden="1" outlineLevel="1">
      <c r="A46" s="6" t="s">
        <v>347</v>
      </c>
      <c r="B46" s="75">
        <f t="shared" ref="B46:Y46" si="14">B44+B43-B45</f>
        <v>3.926306119</v>
      </c>
      <c r="C46" s="75">
        <f t="shared" si="14"/>
        <v>3.853969936</v>
      </c>
      <c r="D46" s="75">
        <f t="shared" si="14"/>
        <v>3.782966436</v>
      </c>
      <c r="E46" s="75">
        <f t="shared" si="14"/>
        <v>3.713271067</v>
      </c>
      <c r="F46" s="75">
        <f t="shared" si="14"/>
        <v>3.644859728</v>
      </c>
      <c r="G46" s="75">
        <f t="shared" si="14"/>
        <v>3.577708764</v>
      </c>
      <c r="H46" s="75">
        <f t="shared" si="14"/>
        <v>3.511794953</v>
      </c>
      <c r="I46" s="75">
        <f t="shared" si="14"/>
        <v>3.447095504</v>
      </c>
      <c r="J46" s="75">
        <f t="shared" si="14"/>
        <v>3.383588043</v>
      </c>
      <c r="K46" s="75">
        <f t="shared" si="14"/>
        <v>3.32125061</v>
      </c>
      <c r="L46" s="75">
        <f t="shared" si="14"/>
        <v>3.260061648</v>
      </c>
      <c r="M46" s="75">
        <f t="shared" si="14"/>
        <v>3.2</v>
      </c>
      <c r="N46" s="75">
        <f t="shared" si="14"/>
        <v>6.141044896</v>
      </c>
      <c r="O46" s="75">
        <f t="shared" si="14"/>
        <v>6.027905538</v>
      </c>
      <c r="P46" s="75">
        <f t="shared" si="14"/>
        <v>5.916850601</v>
      </c>
      <c r="Q46" s="75">
        <f t="shared" si="14"/>
        <v>5.807841681</v>
      </c>
      <c r="R46" s="75">
        <f t="shared" si="14"/>
        <v>5.700841083</v>
      </c>
      <c r="S46" s="75">
        <f t="shared" si="14"/>
        <v>5.595811807</v>
      </c>
      <c r="T46" s="75">
        <f t="shared" si="14"/>
        <v>5.492717536</v>
      </c>
      <c r="U46" s="75">
        <f t="shared" si="14"/>
        <v>5.391522618</v>
      </c>
      <c r="V46" s="75">
        <f t="shared" si="14"/>
        <v>5.292192062</v>
      </c>
      <c r="W46" s="75">
        <f t="shared" si="14"/>
        <v>5.19469152</v>
      </c>
      <c r="X46" s="75">
        <f t="shared" si="14"/>
        <v>5.098987276</v>
      </c>
      <c r="Y46" s="75">
        <f t="shared" si="14"/>
        <v>5.005046236</v>
      </c>
      <c r="Z46" s="76">
        <f>M46</f>
        <v>3.2</v>
      </c>
      <c r="AA46" s="76">
        <f>Y46</f>
        <v>5.005046236</v>
      </c>
    </row>
    <row r="47" hidden="1" outlineLevel="1">
      <c r="A47" s="6" t="s">
        <v>357</v>
      </c>
      <c r="B47" s="75">
        <f>SUMPRODUCT($B43:B43,(((B$2-$B$2:B$2)&gt;=Inputs!$F$32)+((B$2-$B$2:B$2)&lt;Inputs!$F$32)*(B$2-$B$2:B$2)/MAX(Inputs!$F$32,1)),((1-Inputs!$F$34)^(1/12))^(B$2-$B$2:B$2))</f>
        <v>0</v>
      </c>
      <c r="C47" s="75">
        <f>SUMPRODUCT($B43:C43,(((C$2-$B$2:C$2)&gt;=Inputs!$F$32)+((C$2-$B$2:C$2)&lt;Inputs!$F$32)*(C$2-$B$2:C$2)/MAX(Inputs!$F$32,1)),((1-Inputs!$F$34)^(1/12))^(C$2-$B$2:C$2))</f>
        <v>0</v>
      </c>
      <c r="D47" s="75">
        <f>SUMPRODUCT($B43:D43,(((D$2-$B$2:D$2)&gt;=Inputs!$F$32)+((D$2-$B$2:D$2)&lt;Inputs!$F$32)*(D$2-$B$2:D$2)/MAX(Inputs!$F$32,1)),((1-Inputs!$F$34)^(1/12))^(D$2-$B$2:D$2))</f>
        <v>0</v>
      </c>
      <c r="E47" s="75">
        <f>SUMPRODUCT($B43:E43,(((E$2-$B$2:E$2)&gt;=Inputs!$F$32)+((E$2-$B$2:E$2)&lt;Inputs!$F$32)*(E$2-$B$2:E$2)/MAX(Inputs!$F$32,1)),((1-Inputs!$F$34)^(1/12))^(E$2-$B$2:E$2))</f>
        <v>0</v>
      </c>
      <c r="F47" s="75">
        <f>SUMPRODUCT($B43:F43,(((F$2-$B$2:F$2)&gt;=Inputs!$F$32)+((F$2-$B$2:F$2)&lt;Inputs!$F$32)*(F$2-$B$2:F$2)/MAX(Inputs!$F$32,1)),((1-Inputs!$F$34)^(1/12))^(F$2-$B$2:F$2))</f>
        <v>0</v>
      </c>
      <c r="G47" s="75">
        <f>SUMPRODUCT($B43:G43,(((G$2-$B$2:G$2)&gt;=Inputs!$F$32)+((G$2-$B$2:G$2)&lt;Inputs!$F$32)*(G$2-$B$2:G$2)/MAX(Inputs!$F$32,1)),((1-Inputs!$F$34)^(1/12))^(G$2-$B$2:G$2))</f>
        <v>0</v>
      </c>
      <c r="H47" s="75">
        <f>SUMPRODUCT($B43:H43,(((H$2-$B$2:H$2)&gt;=Inputs!$F$32)+((H$2-$B$2:H$2)&lt;Inputs!$F$32)*(H$2-$B$2:H$2)/MAX(Inputs!$F$32,1)),((1-Inputs!$F$34)^(1/12))^(H$2-$B$2:H$2))</f>
        <v>0</v>
      </c>
      <c r="I47" s="75">
        <f>SUMPRODUCT($B43:I43,(((I$2-$B$2:I$2)&gt;=Inputs!$F$32)+((I$2-$B$2:I$2)&lt;Inputs!$F$32)*(I$2-$B$2:I$2)/MAX(Inputs!$F$32,1)),((1-Inputs!$F$34)^(1/12))^(I$2-$B$2:I$2))</f>
        <v>0</v>
      </c>
      <c r="J47" s="75">
        <f>SUMPRODUCT($B43:J43,(((J$2-$B$2:J$2)&gt;=Inputs!$F$32)+((J$2-$B$2:J$2)&lt;Inputs!$F$32)*(J$2-$B$2:J$2)/MAX(Inputs!$F$32,1)),((1-Inputs!$F$34)^(1/12))^(J$2-$B$2:J$2))</f>
        <v>0</v>
      </c>
      <c r="K47" s="75">
        <f>SUMPRODUCT($B43:K43,(((K$2-$B$2:K$2)&gt;=Inputs!$F$32)+((K$2-$B$2:K$2)&lt;Inputs!$F$32)*(K$2-$B$2:K$2)/MAX(Inputs!$F$32,1)),((1-Inputs!$F$34)^(1/12))^(K$2-$B$2:K$2))</f>
        <v>0</v>
      </c>
      <c r="L47" s="75">
        <f>SUMPRODUCT($B43:L43,(((L$2-$B$2:L$2)&gt;=Inputs!$F$32)+((L$2-$B$2:L$2)&lt;Inputs!$F$32)*(L$2-$B$2:L$2)/MAX(Inputs!$F$32,1)),((1-Inputs!$F$34)^(1/12))^(L$2-$B$2:L$2))</f>
        <v>0</v>
      </c>
      <c r="M47" s="75">
        <f>SUMPRODUCT($B43:M43,(((M$2-$B$2:M$2)&gt;=Inputs!$F$32)+((M$2-$B$2:M$2)&lt;Inputs!$F$32)*(M$2-$B$2:M$2)/MAX(Inputs!$F$32,1)),((1-Inputs!$F$34)^(1/12))^(M$2-$B$2:M$2))</f>
        <v>0</v>
      </c>
      <c r="N47" s="75">
        <f>SUMPRODUCT($B43:N43,(((N$2-$B$2:N$2)&gt;=Inputs!$F$32)+((N$2-$B$2:N$2)&lt;Inputs!$F$32)*(N$2-$B$2:N$2)/MAX(Inputs!$F$32,1)),((1-Inputs!$F$34)^(1/12))^(N$2-$B$2:N$2))</f>
        <v>0</v>
      </c>
      <c r="O47" s="75">
        <f>SUMPRODUCT($B43:O43,(((O$2-$B$2:O$2)&gt;=Inputs!$F$32)+((O$2-$B$2:O$2)&lt;Inputs!$F$32)*(O$2-$B$2:O$2)/MAX(Inputs!$F$32,1)),((1-Inputs!$F$34)^(1/12))^(O$2-$B$2:O$2))</f>
        <v>0.9815765299</v>
      </c>
      <c r="P47" s="75">
        <f>SUMPRODUCT($B43:P43,(((P$2-$B$2:P$2)&gt;=Inputs!$F$32)+((P$2-$B$2:P$2)&lt;Inputs!$F$32)*(P$2-$B$2:P$2)/MAX(Inputs!$F$32,1)),((1-Inputs!$F$34)^(1/12))^(P$2-$B$2:P$2))</f>
        <v>1.926984968</v>
      </c>
      <c r="Q47" s="75">
        <f>SUMPRODUCT($B43:Q43,(((Q$2-$B$2:Q$2)&gt;=Inputs!$F$32)+((Q$2-$B$2:Q$2)&lt;Inputs!$F$32)*(Q$2-$B$2:Q$2)/MAX(Inputs!$F$32,1)),((1-Inputs!$F$34)^(1/12))^(Q$2-$B$2:Q$2))</f>
        <v>2.837224827</v>
      </c>
      <c r="R47" s="75">
        <f>SUMPRODUCT($B43:R43,(((R$2-$B$2:R$2)&gt;=Inputs!$F$32)+((R$2-$B$2:R$2)&lt;Inputs!$F$32)*(R$2-$B$2:R$2)/MAX(Inputs!$F$32,1)),((1-Inputs!$F$34)^(1/12))^(R$2-$B$2:R$2))</f>
        <v>2.7849533</v>
      </c>
      <c r="S47" s="75">
        <f>SUMPRODUCT($B43:S43,(((S$2-$B$2:S$2)&gt;=Inputs!$F$32)+((S$2-$B$2:S$2)&lt;Inputs!$F$32)*(S$2-$B$2:S$2)/MAX(Inputs!$F$32,1)),((1-Inputs!$F$34)^(1/12))^(S$2-$B$2:S$2))</f>
        <v>2.733644796</v>
      </c>
      <c r="T47" s="75">
        <f>SUMPRODUCT($B43:T43,(((T$2-$B$2:T$2)&gt;=Inputs!$F$32)+((T$2-$B$2:T$2)&lt;Inputs!$F$32)*(T$2-$B$2:T$2)/MAX(Inputs!$F$32,1)),((1-Inputs!$F$34)^(1/12))^(T$2-$B$2:T$2))</f>
        <v>2.683281573</v>
      </c>
      <c r="U47" s="75">
        <f>SUMPRODUCT($B43:U43,(((U$2-$B$2:U$2)&gt;=Inputs!$F$32)+((U$2-$B$2:U$2)&lt;Inputs!$F$32)*(U$2-$B$2:U$2)/MAX(Inputs!$F$32,1)),((1-Inputs!$F$34)^(1/12))^(U$2-$B$2:U$2))</f>
        <v>2.633846215</v>
      </c>
      <c r="V47" s="75">
        <f>SUMPRODUCT($B43:V43,(((V$2-$B$2:V$2)&gt;=Inputs!$F$32)+((V$2-$B$2:V$2)&lt;Inputs!$F$32)*(V$2-$B$2:V$2)/MAX(Inputs!$F$32,1)),((1-Inputs!$F$34)^(1/12))^(V$2-$B$2:V$2))</f>
        <v>2.585321628</v>
      </c>
      <c r="W47" s="75">
        <f>SUMPRODUCT($B43:W43,(((W$2-$B$2:W$2)&gt;=Inputs!$F$32)+((W$2-$B$2:W$2)&lt;Inputs!$F$32)*(W$2-$B$2:W$2)/MAX(Inputs!$F$32,1)),((1-Inputs!$F$34)^(1/12))^(W$2-$B$2:W$2))</f>
        <v>2.537691032</v>
      </c>
      <c r="X47" s="75">
        <f>SUMPRODUCT($B43:X43,(((X$2-$B$2:X$2)&gt;=Inputs!$F$32)+((X$2-$B$2:X$2)&lt;Inputs!$F$32)*(X$2-$B$2:X$2)/MAX(Inputs!$F$32,1)),((1-Inputs!$F$34)^(1/12))^(X$2-$B$2:X$2))</f>
        <v>2.490937957</v>
      </c>
      <c r="Y47" s="75">
        <f>SUMPRODUCT($B43:Y43,(((Y$2-$B$2:Y$2)&gt;=Inputs!$F$32)+((Y$2-$B$2:Y$2)&lt;Inputs!$F$32)*(Y$2-$B$2:Y$2)/MAX(Inputs!$F$32,1)),((1-Inputs!$F$34)^(1/12))^(Y$2-$B$2:Y$2))</f>
        <v>2.445046236</v>
      </c>
      <c r="Z47" s="76"/>
      <c r="AA47" s="76"/>
    </row>
    <row r="48" hidden="1" outlineLevel="1">
      <c r="A48" s="12" t="s">
        <v>358</v>
      </c>
      <c r="B48" s="76">
        <f>Inputs!$C$31*((1-Inputs!$F$34)^(1/12))^B$2+B47</f>
        <v>3.926306119</v>
      </c>
      <c r="C48" s="76">
        <f>Inputs!$C$31*((1-Inputs!$F$34)^(1/12))^C$2+C47</f>
        <v>3.853969936</v>
      </c>
      <c r="D48" s="76">
        <f>Inputs!$C$31*((1-Inputs!$F$34)^(1/12))^D$2+D47</f>
        <v>3.782966436</v>
      </c>
      <c r="E48" s="76">
        <f>Inputs!$C$31*((1-Inputs!$F$34)^(1/12))^E$2+E47</f>
        <v>3.713271067</v>
      </c>
      <c r="F48" s="76">
        <f>Inputs!$C$31*((1-Inputs!$F$34)^(1/12))^F$2+F47</f>
        <v>3.644859728</v>
      </c>
      <c r="G48" s="76">
        <f>Inputs!$C$31*((1-Inputs!$F$34)^(1/12))^G$2+G47</f>
        <v>3.577708764</v>
      </c>
      <c r="H48" s="76">
        <f>Inputs!$C$31*((1-Inputs!$F$34)^(1/12))^H$2+H47</f>
        <v>3.511794953</v>
      </c>
      <c r="I48" s="76">
        <f>Inputs!$C$31*((1-Inputs!$F$34)^(1/12))^I$2+I47</f>
        <v>3.447095504</v>
      </c>
      <c r="J48" s="76">
        <f>Inputs!$C$31*((1-Inputs!$F$34)^(1/12))^J$2+J47</f>
        <v>3.383588043</v>
      </c>
      <c r="K48" s="76">
        <f>Inputs!$C$31*((1-Inputs!$F$34)^(1/12))^K$2+K47</f>
        <v>3.32125061</v>
      </c>
      <c r="L48" s="76">
        <f>Inputs!$C$31*((1-Inputs!$F$34)^(1/12))^L$2+L47</f>
        <v>3.260061648</v>
      </c>
      <c r="M48" s="76">
        <f>Inputs!$C$31*((1-Inputs!$F$34)^(1/12))^M$2+M47</f>
        <v>3.2</v>
      </c>
      <c r="N48" s="76">
        <f>Inputs!$C$31*((1-Inputs!$F$34)^(1/12))^N$2+N47</f>
        <v>3.141044896</v>
      </c>
      <c r="O48" s="76">
        <f>Inputs!$C$31*((1-Inputs!$F$34)^(1/12))^O$2+O47</f>
        <v>4.064752479</v>
      </c>
      <c r="P48" s="76">
        <f>Inputs!$C$31*((1-Inputs!$F$34)^(1/12))^P$2+P47</f>
        <v>4.953358117</v>
      </c>
      <c r="Q48" s="76">
        <f>Inputs!$C$31*((1-Inputs!$F$34)^(1/12))^Q$2+Q47</f>
        <v>5.807841681</v>
      </c>
      <c r="R48" s="76">
        <f>Inputs!$C$31*((1-Inputs!$F$34)^(1/12))^R$2+R47</f>
        <v>5.700841083</v>
      </c>
      <c r="S48" s="76">
        <f>Inputs!$C$31*((1-Inputs!$F$34)^(1/12))^S$2+S47</f>
        <v>5.595811807</v>
      </c>
      <c r="T48" s="76">
        <f>Inputs!$C$31*((1-Inputs!$F$34)^(1/12))^T$2+T47</f>
        <v>5.492717536</v>
      </c>
      <c r="U48" s="76">
        <f>Inputs!$C$31*((1-Inputs!$F$34)^(1/12))^U$2+U47</f>
        <v>5.391522618</v>
      </c>
      <c r="V48" s="76">
        <f>Inputs!$C$31*((1-Inputs!$F$34)^(1/12))^V$2+V47</f>
        <v>5.292192062</v>
      </c>
      <c r="W48" s="76">
        <f>Inputs!$C$31*((1-Inputs!$F$34)^(1/12))^W$2+W47</f>
        <v>5.19469152</v>
      </c>
      <c r="X48" s="76">
        <f>Inputs!$C$31*((1-Inputs!$F$34)^(1/12))^X$2+X47</f>
        <v>5.098987276</v>
      </c>
      <c r="Y48" s="76">
        <f>Inputs!$C$31*((1-Inputs!$F$34)^(1/12))^Y$2+Y47</f>
        <v>5.005046236</v>
      </c>
      <c r="Z48" s="76">
        <f>M48</f>
        <v>3.2</v>
      </c>
      <c r="AA48" s="76">
        <f>Y48</f>
        <v>5.005046236</v>
      </c>
    </row>
    <row r="49" hidden="1" outlineLevel="1">
      <c r="A49" s="6" t="s">
        <v>359</v>
      </c>
      <c r="B49" s="75">
        <f>SUMPRODUCT($B43:B43,((((B$2-$B$2:B$2)-Inputs!$F$30)&gt;=Inputs!$F$32)+(((B$2-$B$2:B$2)-Inputs!$F$30)&lt;Inputs!$F$32)*((((B$2-$B$2:B$2)-Inputs!$F$30)/MAX(Inputs!$F$32,1)&gt;Inputs!$F$33)*((B$2-$B$2:B$2)-Inputs!$F$30)/MAX(Inputs!$F$32,1)+(((B$2-$B$2:B$2)-Inputs!$F$30)/MAX(Inputs!$F$32,1)&lt;=Inputs!$F$33)*Inputs!$F$33)),((1-Inputs!$F$34)^(1/12))^(B$2-$B$2:B$2))</f>
        <v>0</v>
      </c>
      <c r="C49" s="75">
        <f>SUMPRODUCT($B43:C43,((((C$2-$B$2:C$2)-Inputs!$F$30)&gt;=Inputs!$F$32)+(((C$2-$B$2:C$2)-Inputs!$F$30)&lt;Inputs!$F$32)*((((C$2-$B$2:C$2)-Inputs!$F$30)/MAX(Inputs!$F$32,1)&gt;Inputs!$F$33)*((C$2-$B$2:C$2)-Inputs!$F$30)/MAX(Inputs!$F$32,1)+(((C$2-$B$2:C$2)-Inputs!$F$30)/MAX(Inputs!$F$32,1)&lt;=Inputs!$F$33)*Inputs!$F$33)),((1-Inputs!$F$34)^(1/12))^(C$2-$B$2:C$2))</f>
        <v>0</v>
      </c>
      <c r="D49" s="75">
        <f>SUMPRODUCT($B43:D43,((((D$2-$B$2:D$2)-Inputs!$F$30)&gt;=Inputs!$F$32)+(((D$2-$B$2:D$2)-Inputs!$F$30)&lt;Inputs!$F$32)*((((D$2-$B$2:D$2)-Inputs!$F$30)/MAX(Inputs!$F$32,1)&gt;Inputs!$F$33)*((D$2-$B$2:D$2)-Inputs!$F$30)/MAX(Inputs!$F$32,1)+(((D$2-$B$2:D$2)-Inputs!$F$30)/MAX(Inputs!$F$32,1)&lt;=Inputs!$F$33)*Inputs!$F$33)),((1-Inputs!$F$34)^(1/12))^(D$2-$B$2:D$2))</f>
        <v>0</v>
      </c>
      <c r="E49" s="75">
        <f>SUMPRODUCT($B43:E43,((((E$2-$B$2:E$2)-Inputs!$F$30)&gt;=Inputs!$F$32)+(((E$2-$B$2:E$2)-Inputs!$F$30)&lt;Inputs!$F$32)*((((E$2-$B$2:E$2)-Inputs!$F$30)/MAX(Inputs!$F$32,1)&gt;Inputs!$F$33)*((E$2-$B$2:E$2)-Inputs!$F$30)/MAX(Inputs!$F$32,1)+(((E$2-$B$2:E$2)-Inputs!$F$30)/MAX(Inputs!$F$32,1)&lt;=Inputs!$F$33)*Inputs!$F$33)),((1-Inputs!$F$34)^(1/12))^(E$2-$B$2:E$2))</f>
        <v>0</v>
      </c>
      <c r="F49" s="75">
        <f>SUMPRODUCT($B43:F43,((((F$2-$B$2:F$2)-Inputs!$F$30)&gt;=Inputs!$F$32)+(((F$2-$B$2:F$2)-Inputs!$F$30)&lt;Inputs!$F$32)*((((F$2-$B$2:F$2)-Inputs!$F$30)/MAX(Inputs!$F$32,1)&gt;Inputs!$F$33)*((F$2-$B$2:F$2)-Inputs!$F$30)/MAX(Inputs!$F$32,1)+(((F$2-$B$2:F$2)-Inputs!$F$30)/MAX(Inputs!$F$32,1)&lt;=Inputs!$F$33)*Inputs!$F$33)),((1-Inputs!$F$34)^(1/12))^(F$2-$B$2:F$2))</f>
        <v>0</v>
      </c>
      <c r="G49" s="75">
        <f>SUMPRODUCT($B43:G43,((((G$2-$B$2:G$2)-Inputs!$F$30)&gt;=Inputs!$F$32)+(((G$2-$B$2:G$2)-Inputs!$F$30)&lt;Inputs!$F$32)*((((G$2-$B$2:G$2)-Inputs!$F$30)/MAX(Inputs!$F$32,1)&gt;Inputs!$F$33)*((G$2-$B$2:G$2)-Inputs!$F$30)/MAX(Inputs!$F$32,1)+(((G$2-$B$2:G$2)-Inputs!$F$30)/MAX(Inputs!$F$32,1)&lt;=Inputs!$F$33)*Inputs!$F$33)),((1-Inputs!$F$34)^(1/12))^(G$2-$B$2:G$2))</f>
        <v>0</v>
      </c>
      <c r="H49" s="75">
        <f>SUMPRODUCT($B43:H43,((((H$2-$B$2:H$2)-Inputs!$F$30)&gt;=Inputs!$F$32)+(((H$2-$B$2:H$2)-Inputs!$F$30)&lt;Inputs!$F$32)*((((H$2-$B$2:H$2)-Inputs!$F$30)/MAX(Inputs!$F$32,1)&gt;Inputs!$F$33)*((H$2-$B$2:H$2)-Inputs!$F$30)/MAX(Inputs!$F$32,1)+(((H$2-$B$2:H$2)-Inputs!$F$30)/MAX(Inputs!$F$32,1)&lt;=Inputs!$F$33)*Inputs!$F$33)),((1-Inputs!$F$34)^(1/12))^(H$2-$B$2:H$2))</f>
        <v>0</v>
      </c>
      <c r="I49" s="75">
        <f>SUMPRODUCT($B43:I43,((((I$2-$B$2:I$2)-Inputs!$F$30)&gt;=Inputs!$F$32)+(((I$2-$B$2:I$2)-Inputs!$F$30)&lt;Inputs!$F$32)*((((I$2-$B$2:I$2)-Inputs!$F$30)/MAX(Inputs!$F$32,1)&gt;Inputs!$F$33)*((I$2-$B$2:I$2)-Inputs!$F$30)/MAX(Inputs!$F$32,1)+(((I$2-$B$2:I$2)-Inputs!$F$30)/MAX(Inputs!$F$32,1)&lt;=Inputs!$F$33)*Inputs!$F$33)),((1-Inputs!$F$34)^(1/12))^(I$2-$B$2:I$2))</f>
        <v>0</v>
      </c>
      <c r="J49" s="75">
        <f>SUMPRODUCT($B43:J43,((((J$2-$B$2:J$2)-Inputs!$F$30)&gt;=Inputs!$F$32)+(((J$2-$B$2:J$2)-Inputs!$F$30)&lt;Inputs!$F$32)*((((J$2-$B$2:J$2)-Inputs!$F$30)/MAX(Inputs!$F$32,1)&gt;Inputs!$F$33)*((J$2-$B$2:J$2)-Inputs!$F$30)/MAX(Inputs!$F$32,1)+(((J$2-$B$2:J$2)-Inputs!$F$30)/MAX(Inputs!$F$32,1)&lt;=Inputs!$F$33)*Inputs!$F$33)),((1-Inputs!$F$34)^(1/12))^(J$2-$B$2:J$2))</f>
        <v>0</v>
      </c>
      <c r="K49" s="75">
        <f>SUMPRODUCT($B43:K43,((((K$2-$B$2:K$2)-Inputs!$F$30)&gt;=Inputs!$F$32)+(((K$2-$B$2:K$2)-Inputs!$F$30)&lt;Inputs!$F$32)*((((K$2-$B$2:K$2)-Inputs!$F$30)/MAX(Inputs!$F$32,1)&gt;Inputs!$F$33)*((K$2-$B$2:K$2)-Inputs!$F$30)/MAX(Inputs!$F$32,1)+(((K$2-$B$2:K$2)-Inputs!$F$30)/MAX(Inputs!$F$32,1)&lt;=Inputs!$F$33)*Inputs!$F$33)),((1-Inputs!$F$34)^(1/12))^(K$2-$B$2:K$2))</f>
        <v>0</v>
      </c>
      <c r="L49" s="75">
        <f>SUMPRODUCT($B43:L43,((((L$2-$B$2:L$2)-Inputs!$F$30)&gt;=Inputs!$F$32)+(((L$2-$B$2:L$2)-Inputs!$F$30)&lt;Inputs!$F$32)*((((L$2-$B$2:L$2)-Inputs!$F$30)/MAX(Inputs!$F$32,1)&gt;Inputs!$F$33)*((L$2-$B$2:L$2)-Inputs!$F$30)/MAX(Inputs!$F$32,1)+(((L$2-$B$2:L$2)-Inputs!$F$30)/MAX(Inputs!$F$32,1)&lt;=Inputs!$F$33)*Inputs!$F$33)),((1-Inputs!$F$34)^(1/12))^(L$2-$B$2:L$2))</f>
        <v>0</v>
      </c>
      <c r="M49" s="75">
        <f>SUMPRODUCT($B43:M43,((((M$2-$B$2:M$2)-Inputs!$F$30)&gt;=Inputs!$F$32)+(((M$2-$B$2:M$2)-Inputs!$F$30)&lt;Inputs!$F$32)*((((M$2-$B$2:M$2)-Inputs!$F$30)/MAX(Inputs!$F$32,1)&gt;Inputs!$F$33)*((M$2-$B$2:M$2)-Inputs!$F$30)/MAX(Inputs!$F$32,1)+(((M$2-$B$2:M$2)-Inputs!$F$30)/MAX(Inputs!$F$32,1)&lt;=Inputs!$F$33)*Inputs!$F$33)),((1-Inputs!$F$34)^(1/12))^(M$2-$B$2:M$2))</f>
        <v>0</v>
      </c>
      <c r="N49" s="75">
        <f>SUMPRODUCT($B43:N43,((((N$2-$B$2:N$2)-Inputs!$F$30)&gt;=Inputs!$F$32)+(((N$2-$B$2:N$2)-Inputs!$F$30)&lt;Inputs!$F$32)*((((N$2-$B$2:N$2)-Inputs!$F$30)/MAX(Inputs!$F$32,1)&gt;Inputs!$F$33)*((N$2-$B$2:N$2)-Inputs!$F$30)/MAX(Inputs!$F$32,1)+(((N$2-$B$2:N$2)-Inputs!$F$30)/MAX(Inputs!$F$32,1)&lt;=Inputs!$F$33)*Inputs!$F$33)),((1-Inputs!$F$34)^(1/12))^(N$2-$B$2:N$2))</f>
        <v>0</v>
      </c>
      <c r="O49" s="75">
        <f>SUMPRODUCT($B43:O43,((((O$2-$B$2:O$2)-Inputs!$F$30)&gt;=Inputs!$F$32)+(((O$2-$B$2:O$2)-Inputs!$F$30)&lt;Inputs!$F$32)*((((O$2-$B$2:O$2)-Inputs!$F$30)/MAX(Inputs!$F$32,1)&gt;Inputs!$F$33)*((O$2-$B$2:O$2)-Inputs!$F$30)/MAX(Inputs!$F$32,1)+(((O$2-$B$2:O$2)-Inputs!$F$30)/MAX(Inputs!$F$32,1)&lt;=Inputs!$F$33)*Inputs!$F$33)),((1-Inputs!$F$34)^(1/12))^(O$2-$B$2:O$2))</f>
        <v>0</v>
      </c>
      <c r="P49" s="75">
        <f>SUMPRODUCT($B43:P43,((((P$2-$B$2:P$2)-Inputs!$F$30)&gt;=Inputs!$F$32)+(((P$2-$B$2:P$2)-Inputs!$F$30)&lt;Inputs!$F$32)*((((P$2-$B$2:P$2)-Inputs!$F$30)/MAX(Inputs!$F$32,1)&gt;Inputs!$F$33)*((P$2-$B$2:P$2)-Inputs!$F$30)/MAX(Inputs!$F$32,1)+(((P$2-$B$2:P$2)-Inputs!$F$30)/MAX(Inputs!$F$32,1)&lt;=Inputs!$F$33)*Inputs!$F$33)),((1-Inputs!$F$34)^(1/12))^(P$2-$B$2:P$2))</f>
        <v>0</v>
      </c>
      <c r="Q49" s="75">
        <f>SUMPRODUCT($B43:Q43,((((Q$2-$B$2:Q$2)-Inputs!$F$30)&gt;=Inputs!$F$32)+(((Q$2-$B$2:Q$2)-Inputs!$F$30)&lt;Inputs!$F$32)*((((Q$2-$B$2:Q$2)-Inputs!$F$30)/MAX(Inputs!$F$32,1)&gt;Inputs!$F$33)*((Q$2-$B$2:Q$2)-Inputs!$F$30)/MAX(Inputs!$F$32,1)+(((Q$2-$B$2:Q$2)-Inputs!$F$30)/MAX(Inputs!$F$32,1)&lt;=Inputs!$F$33)*Inputs!$F$33)),((1-Inputs!$F$34)^(1/12))^(Q$2-$B$2:Q$2))</f>
        <v>0</v>
      </c>
      <c r="R49" s="75">
        <f>SUMPRODUCT($B43:R43,((((R$2-$B$2:R$2)-Inputs!$F$30)&gt;=Inputs!$F$32)+(((R$2-$B$2:R$2)-Inputs!$F$30)&lt;Inputs!$F$32)*((((R$2-$B$2:R$2)-Inputs!$F$30)/MAX(Inputs!$F$32,1)&gt;Inputs!$F$33)*((R$2-$B$2:R$2)-Inputs!$F$30)/MAX(Inputs!$F$32,1)+(((R$2-$B$2:R$2)-Inputs!$F$30)/MAX(Inputs!$F$32,1)&lt;=Inputs!$F$33)*Inputs!$F$33)),((1-Inputs!$F$34)^(1/12))^(R$2-$B$2:R$2))</f>
        <v>0.9283177667</v>
      </c>
      <c r="S49" s="75">
        <f>SUMPRODUCT($B43:S43,((((S$2-$B$2:S$2)-Inputs!$F$30)&gt;=Inputs!$F$32)+(((S$2-$B$2:S$2)-Inputs!$F$30)&lt;Inputs!$F$32)*((((S$2-$B$2:S$2)-Inputs!$F$30)/MAX(Inputs!$F$32,1)&gt;Inputs!$F$33)*((S$2-$B$2:S$2)-Inputs!$F$30)/MAX(Inputs!$F$32,1)+(((S$2-$B$2:S$2)-Inputs!$F$30)/MAX(Inputs!$F$32,1)&lt;=Inputs!$F$33)*Inputs!$F$33)),((1-Inputs!$F$34)^(1/12))^(S$2-$B$2:S$2))</f>
        <v>1.822429864</v>
      </c>
      <c r="T49" s="75">
        <f>SUMPRODUCT($B43:T43,((((T$2-$B$2:T$2)-Inputs!$F$30)&gt;=Inputs!$F$32)+(((T$2-$B$2:T$2)-Inputs!$F$30)&lt;Inputs!$F$32)*((((T$2-$B$2:T$2)-Inputs!$F$30)/MAX(Inputs!$F$32,1)&gt;Inputs!$F$33)*((T$2-$B$2:T$2)-Inputs!$F$30)/MAX(Inputs!$F$32,1)+(((T$2-$B$2:T$2)-Inputs!$F$30)/MAX(Inputs!$F$32,1)&lt;=Inputs!$F$33)*Inputs!$F$33)),((1-Inputs!$F$34)^(1/12))^(T$2-$B$2:T$2))</f>
        <v>2.683281573</v>
      </c>
      <c r="U49" s="75">
        <f>SUMPRODUCT($B43:U43,((((U$2-$B$2:U$2)-Inputs!$F$30)&gt;=Inputs!$F$32)+(((U$2-$B$2:U$2)-Inputs!$F$30)&lt;Inputs!$F$32)*((((U$2-$B$2:U$2)-Inputs!$F$30)/MAX(Inputs!$F$32,1)&gt;Inputs!$F$33)*((U$2-$B$2:U$2)-Inputs!$F$30)/MAX(Inputs!$F$32,1)+(((U$2-$B$2:U$2)-Inputs!$F$30)/MAX(Inputs!$F$32,1)&lt;=Inputs!$F$33)*Inputs!$F$33)),((1-Inputs!$F$34)^(1/12))^(U$2-$B$2:U$2))</f>
        <v>2.633846215</v>
      </c>
      <c r="V49" s="75">
        <f>SUMPRODUCT($B43:V43,((((V$2-$B$2:V$2)-Inputs!$F$30)&gt;=Inputs!$F$32)+(((V$2-$B$2:V$2)-Inputs!$F$30)&lt;Inputs!$F$32)*((((V$2-$B$2:V$2)-Inputs!$F$30)/MAX(Inputs!$F$32,1)&gt;Inputs!$F$33)*((V$2-$B$2:V$2)-Inputs!$F$30)/MAX(Inputs!$F$32,1)+(((V$2-$B$2:V$2)-Inputs!$F$30)/MAX(Inputs!$F$32,1)&lt;=Inputs!$F$33)*Inputs!$F$33)),((1-Inputs!$F$34)^(1/12))^(V$2-$B$2:V$2))</f>
        <v>2.585321628</v>
      </c>
      <c r="W49" s="75">
        <f>SUMPRODUCT($B43:W43,((((W$2-$B$2:W$2)-Inputs!$F$30)&gt;=Inputs!$F$32)+(((W$2-$B$2:W$2)-Inputs!$F$30)&lt;Inputs!$F$32)*((((W$2-$B$2:W$2)-Inputs!$F$30)/MAX(Inputs!$F$32,1)&gt;Inputs!$F$33)*((W$2-$B$2:W$2)-Inputs!$F$30)/MAX(Inputs!$F$32,1)+(((W$2-$B$2:W$2)-Inputs!$F$30)/MAX(Inputs!$F$32,1)&lt;=Inputs!$F$33)*Inputs!$F$33)),((1-Inputs!$F$34)^(1/12))^(W$2-$B$2:W$2))</f>
        <v>2.537691032</v>
      </c>
      <c r="X49" s="75">
        <f>SUMPRODUCT($B43:X43,((((X$2-$B$2:X$2)-Inputs!$F$30)&gt;=Inputs!$F$32)+(((X$2-$B$2:X$2)-Inputs!$F$30)&lt;Inputs!$F$32)*((((X$2-$B$2:X$2)-Inputs!$F$30)/MAX(Inputs!$F$32,1)&gt;Inputs!$F$33)*((X$2-$B$2:X$2)-Inputs!$F$30)/MAX(Inputs!$F$32,1)+(((X$2-$B$2:X$2)-Inputs!$F$30)/MAX(Inputs!$F$32,1)&lt;=Inputs!$F$33)*Inputs!$F$33)),((1-Inputs!$F$34)^(1/12))^(X$2-$B$2:X$2))</f>
        <v>2.490937957</v>
      </c>
      <c r="Y49" s="75">
        <f>SUMPRODUCT($B43:Y43,((((Y$2-$B$2:Y$2)-Inputs!$F$30)&gt;=Inputs!$F$32)+(((Y$2-$B$2:Y$2)-Inputs!$F$30)&lt;Inputs!$F$32)*((((Y$2-$B$2:Y$2)-Inputs!$F$30)/MAX(Inputs!$F$32,1)&gt;Inputs!$F$33)*((Y$2-$B$2:Y$2)-Inputs!$F$30)/MAX(Inputs!$F$32,1)+(((Y$2-$B$2:Y$2)-Inputs!$F$30)/MAX(Inputs!$F$32,1)&lt;=Inputs!$F$33)*Inputs!$F$33)),((1-Inputs!$F$34)^(1/12))^(Y$2-$B$2:Y$2))</f>
        <v>2.445046236</v>
      </c>
      <c r="Z49" s="76"/>
      <c r="AA49" s="76"/>
    </row>
    <row r="50" hidden="1" outlineLevel="1">
      <c r="A50" s="6" t="s">
        <v>350</v>
      </c>
      <c r="B50" s="75">
        <f>Inputs!$C$31*((1-Inputs!$F$34)^(1/12))^B$2+B49</f>
        <v>3.926306119</v>
      </c>
      <c r="C50" s="75">
        <f>Inputs!$C$31*((1-Inputs!$F$34)^(1/12))^C$2+C49</f>
        <v>3.853969936</v>
      </c>
      <c r="D50" s="75">
        <f>Inputs!$C$31*((1-Inputs!$F$34)^(1/12))^D$2+D49</f>
        <v>3.782966436</v>
      </c>
      <c r="E50" s="75">
        <f>Inputs!$C$31*((1-Inputs!$F$34)^(1/12))^E$2+E49</f>
        <v>3.713271067</v>
      </c>
      <c r="F50" s="75">
        <f>Inputs!$C$31*((1-Inputs!$F$34)^(1/12))^F$2+F49</f>
        <v>3.644859728</v>
      </c>
      <c r="G50" s="75">
        <f>Inputs!$C$31*((1-Inputs!$F$34)^(1/12))^G$2+G49</f>
        <v>3.577708764</v>
      </c>
      <c r="H50" s="75">
        <f>Inputs!$C$31*((1-Inputs!$F$34)^(1/12))^H$2+H49</f>
        <v>3.511794953</v>
      </c>
      <c r="I50" s="75">
        <f>Inputs!$C$31*((1-Inputs!$F$34)^(1/12))^I$2+I49</f>
        <v>3.447095504</v>
      </c>
      <c r="J50" s="75">
        <f>Inputs!$C$31*((1-Inputs!$F$34)^(1/12))^J$2+J49</f>
        <v>3.383588043</v>
      </c>
      <c r="K50" s="75">
        <f>Inputs!$C$31*((1-Inputs!$F$34)^(1/12))^K$2+K49</f>
        <v>3.32125061</v>
      </c>
      <c r="L50" s="75">
        <f>Inputs!$C$31*((1-Inputs!$F$34)^(1/12))^L$2+L49</f>
        <v>3.260061648</v>
      </c>
      <c r="M50" s="75">
        <f>Inputs!$C$31*((1-Inputs!$F$34)^(1/12))^M$2+M49</f>
        <v>3.2</v>
      </c>
      <c r="N50" s="75">
        <f>Inputs!$C$31*((1-Inputs!$F$34)^(1/12))^N$2+N49</f>
        <v>3.141044896</v>
      </c>
      <c r="O50" s="75">
        <f>Inputs!$C$31*((1-Inputs!$F$34)^(1/12))^O$2+O49</f>
        <v>3.083175949</v>
      </c>
      <c r="P50" s="75">
        <f>Inputs!$C$31*((1-Inputs!$F$34)^(1/12))^P$2+P49</f>
        <v>3.026373149</v>
      </c>
      <c r="Q50" s="75">
        <f>Inputs!$C$31*((1-Inputs!$F$34)^(1/12))^Q$2+Q49</f>
        <v>2.970616854</v>
      </c>
      <c r="R50" s="75">
        <f>Inputs!$C$31*((1-Inputs!$F$34)^(1/12))^R$2+R49</f>
        <v>3.844205549</v>
      </c>
      <c r="S50" s="75">
        <f>Inputs!$C$31*((1-Inputs!$F$34)^(1/12))^S$2+S49</f>
        <v>4.684596875</v>
      </c>
      <c r="T50" s="75">
        <f>Inputs!$C$31*((1-Inputs!$F$34)^(1/12))^T$2+T49</f>
        <v>5.492717536</v>
      </c>
      <c r="U50" s="75">
        <f>Inputs!$C$31*((1-Inputs!$F$34)^(1/12))^U$2+U49</f>
        <v>5.391522618</v>
      </c>
      <c r="V50" s="75">
        <f>Inputs!$C$31*((1-Inputs!$F$34)^(1/12))^V$2+V49</f>
        <v>5.292192062</v>
      </c>
      <c r="W50" s="75">
        <f>Inputs!$C$31*((1-Inputs!$F$34)^(1/12))^W$2+W49</f>
        <v>5.19469152</v>
      </c>
      <c r="X50" s="75">
        <f>Inputs!$C$31*((1-Inputs!$F$34)^(1/12))^X$2+X49</f>
        <v>5.098987276</v>
      </c>
      <c r="Y50" s="75">
        <f>Inputs!$C$31*((1-Inputs!$F$34)^(1/12))^Y$2+Y49</f>
        <v>5.005046236</v>
      </c>
      <c r="Z50" s="76">
        <f>M50</f>
        <v>3.2</v>
      </c>
      <c r="AA50" s="76">
        <f>Y50</f>
        <v>5.005046236</v>
      </c>
    </row>
    <row r="51" hidden="1" outlineLevel="1">
      <c r="A51" s="6" t="s">
        <v>360</v>
      </c>
      <c r="B51" s="70">
        <f>'Rep capacity'!$C$31</f>
        <v>48000</v>
      </c>
      <c r="C51" s="70">
        <f>'Rep capacity'!$C$31</f>
        <v>48000</v>
      </c>
      <c r="D51" s="70">
        <f>'Rep capacity'!$C$31</f>
        <v>48000</v>
      </c>
      <c r="E51" s="70">
        <f>'Rep capacity'!$C$31</f>
        <v>48000</v>
      </c>
      <c r="F51" s="70">
        <f>'Rep capacity'!$C$31</f>
        <v>48000</v>
      </c>
      <c r="G51" s="70">
        <f>'Rep capacity'!$C$31</f>
        <v>48000</v>
      </c>
      <c r="H51" s="70">
        <f>'Rep capacity'!$C$31</f>
        <v>48000</v>
      </c>
      <c r="I51" s="70">
        <f>'Rep capacity'!$C$31</f>
        <v>48000</v>
      </c>
      <c r="J51" s="70">
        <f>'Rep capacity'!$C$31</f>
        <v>48000</v>
      </c>
      <c r="K51" s="70">
        <f>'Rep capacity'!$C$31</f>
        <v>48000</v>
      </c>
      <c r="L51" s="70">
        <f>'Rep capacity'!$C$31</f>
        <v>48000</v>
      </c>
      <c r="M51" s="70">
        <f>'Rep capacity'!$C$31</f>
        <v>48000</v>
      </c>
      <c r="N51" s="70">
        <f>'Rep capacity'!$C$31</f>
        <v>48000</v>
      </c>
      <c r="O51" s="70">
        <f>'Rep capacity'!$C$31</f>
        <v>48000</v>
      </c>
      <c r="P51" s="70">
        <f>'Rep capacity'!$C$31</f>
        <v>48000</v>
      </c>
      <c r="Q51" s="70">
        <f>'Rep capacity'!$C$31</f>
        <v>48000</v>
      </c>
      <c r="R51" s="70">
        <f>'Rep capacity'!$C$31</f>
        <v>48000</v>
      </c>
      <c r="S51" s="70">
        <f>'Rep capacity'!$C$31</f>
        <v>48000</v>
      </c>
      <c r="T51" s="70">
        <f>'Rep capacity'!$C$31</f>
        <v>48000</v>
      </c>
      <c r="U51" s="70">
        <f>'Rep capacity'!$C$31</f>
        <v>48000</v>
      </c>
      <c r="V51" s="70">
        <f>'Rep capacity'!$C$31</f>
        <v>48000</v>
      </c>
      <c r="W51" s="70">
        <f>'Rep capacity'!$C$31</f>
        <v>48000</v>
      </c>
      <c r="X51" s="70">
        <f>'Rep capacity'!$C$31</f>
        <v>48000</v>
      </c>
      <c r="Y51" s="70">
        <f>'Rep capacity'!$C$31</f>
        <v>48000</v>
      </c>
      <c r="Z51" s="71"/>
      <c r="AA51" s="71"/>
    </row>
    <row r="52" hidden="1" outlineLevel="1">
      <c r="A52" s="12" t="s">
        <v>361</v>
      </c>
      <c r="B52" s="71">
        <f t="shared" ref="B52:Y52" si="15">B50*B51</f>
        <v>188462.6937</v>
      </c>
      <c r="C52" s="71">
        <f t="shared" si="15"/>
        <v>184990.5569</v>
      </c>
      <c r="D52" s="71">
        <f t="shared" si="15"/>
        <v>181582.3889</v>
      </c>
      <c r="E52" s="71">
        <f t="shared" si="15"/>
        <v>178237.0112</v>
      </c>
      <c r="F52" s="71">
        <f t="shared" si="15"/>
        <v>174953.267</v>
      </c>
      <c r="G52" s="71">
        <f t="shared" si="15"/>
        <v>171730.0207</v>
      </c>
      <c r="H52" s="71">
        <f t="shared" si="15"/>
        <v>168566.1578</v>
      </c>
      <c r="I52" s="71">
        <f t="shared" si="15"/>
        <v>165460.5842</v>
      </c>
      <c r="J52" s="71">
        <f t="shared" si="15"/>
        <v>162412.2261</v>
      </c>
      <c r="K52" s="71">
        <f t="shared" si="15"/>
        <v>159420.0293</v>
      </c>
      <c r="L52" s="71">
        <f t="shared" si="15"/>
        <v>156482.9591</v>
      </c>
      <c r="M52" s="71">
        <f t="shared" si="15"/>
        <v>153600</v>
      </c>
      <c r="N52" s="71">
        <f t="shared" si="15"/>
        <v>150770.155</v>
      </c>
      <c r="O52" s="71">
        <f t="shared" si="15"/>
        <v>147992.4455</v>
      </c>
      <c r="P52" s="71">
        <f t="shared" si="15"/>
        <v>145265.9111</v>
      </c>
      <c r="Q52" s="71">
        <f t="shared" si="15"/>
        <v>142589.609</v>
      </c>
      <c r="R52" s="71">
        <f t="shared" si="15"/>
        <v>184521.8664</v>
      </c>
      <c r="S52" s="71">
        <f t="shared" si="15"/>
        <v>224860.65</v>
      </c>
      <c r="T52" s="71">
        <f t="shared" si="15"/>
        <v>263650.4417</v>
      </c>
      <c r="U52" s="71">
        <f t="shared" si="15"/>
        <v>258793.0857</v>
      </c>
      <c r="V52" s="71">
        <f t="shared" si="15"/>
        <v>254025.219</v>
      </c>
      <c r="W52" s="71">
        <f t="shared" si="15"/>
        <v>249345.193</v>
      </c>
      <c r="X52" s="71">
        <f t="shared" si="15"/>
        <v>244751.3893</v>
      </c>
      <c r="Y52" s="71">
        <f t="shared" si="15"/>
        <v>240242.2193</v>
      </c>
      <c r="Z52" s="71">
        <f t="shared" ref="Z52:Z53" si="16">SUM(B52:M52)</f>
        <v>2045897.895</v>
      </c>
      <c r="AA52" s="71">
        <f t="shared" ref="AA52:AA53" si="17">SUM(N52:Y52)</f>
        <v>2506808.185</v>
      </c>
    </row>
    <row r="53" hidden="1" outlineLevel="1">
      <c r="A53" s="38" t="s">
        <v>362</v>
      </c>
      <c r="B53" s="77">
        <f>SUMPRODUCT($B43:B43,((((B$2-$B$2:B$2)-Inputs!$F$30)&lt;Inputs!$F$32)*(Inputs!$F$33&gt;((((B$2-$B$2:B$2)-Inputs!$F$30)&gt;0)*((B$2-$B$2:B$2)-Inputs!$F$30)/MAX(Inputs!$F$32,1)))*(Inputs!$F$33-((((B$2-$B$2:B$2)-Inputs!$F$30)&gt;0)*((B$2-$B$2:B$2)-Inputs!$F$30)/MAX(Inputs!$F$32,1)))),((1-Inputs!$F$34)^(1/12))^(B$2-$B$2:B$2))*B51</f>
        <v>0</v>
      </c>
      <c r="C53" s="77">
        <f>SUMPRODUCT($B43:C43,((((C$2-$B$2:C$2)-Inputs!$F$30)&lt;Inputs!$F$32)*(Inputs!$F$33&gt;((((C$2-$B$2:C$2)-Inputs!$F$30)&gt;0)*((C$2-$B$2:C$2)-Inputs!$F$30)/MAX(Inputs!$F$32,1)))*(Inputs!$F$33-((((C$2-$B$2:C$2)-Inputs!$F$30)&gt;0)*((C$2-$B$2:C$2)-Inputs!$F$30)/MAX(Inputs!$F$32,1)))),((1-Inputs!$F$34)^(1/12))^(C$2-$B$2:C$2))*C51</f>
        <v>0</v>
      </c>
      <c r="D53" s="77">
        <f>SUMPRODUCT($B43:D43,((((D$2-$B$2:D$2)-Inputs!$F$30)&lt;Inputs!$F$32)*(Inputs!$F$33&gt;((((D$2-$B$2:D$2)-Inputs!$F$30)&gt;0)*((D$2-$B$2:D$2)-Inputs!$F$30)/MAX(Inputs!$F$32,1)))*(Inputs!$F$33-((((D$2-$B$2:D$2)-Inputs!$F$30)&gt;0)*((D$2-$B$2:D$2)-Inputs!$F$30)/MAX(Inputs!$F$32,1)))),((1-Inputs!$F$34)^(1/12))^(D$2-$B$2:D$2))*D51</f>
        <v>0</v>
      </c>
      <c r="E53" s="77">
        <f>SUMPRODUCT($B43:E43,((((E$2-$B$2:E$2)-Inputs!$F$30)&lt;Inputs!$F$32)*(Inputs!$F$33&gt;((((E$2-$B$2:E$2)-Inputs!$F$30)&gt;0)*((E$2-$B$2:E$2)-Inputs!$F$30)/MAX(Inputs!$F$32,1)))*(Inputs!$F$33-((((E$2-$B$2:E$2)-Inputs!$F$30)&gt;0)*((E$2-$B$2:E$2)-Inputs!$F$30)/MAX(Inputs!$F$32,1)))),((1-Inputs!$F$34)^(1/12))^(E$2-$B$2:E$2))*E51</f>
        <v>0</v>
      </c>
      <c r="F53" s="77">
        <f>SUMPRODUCT($B43:F43,((((F$2-$B$2:F$2)-Inputs!$F$30)&lt;Inputs!$F$32)*(Inputs!$F$33&gt;((((F$2-$B$2:F$2)-Inputs!$F$30)&gt;0)*((F$2-$B$2:F$2)-Inputs!$F$30)/MAX(Inputs!$F$32,1)))*(Inputs!$F$33-((((F$2-$B$2:F$2)-Inputs!$F$30)&gt;0)*((F$2-$B$2:F$2)-Inputs!$F$30)/MAX(Inputs!$F$32,1)))),((1-Inputs!$F$34)^(1/12))^(F$2-$B$2:F$2))*F51</f>
        <v>0</v>
      </c>
      <c r="G53" s="77">
        <f>SUMPRODUCT($B43:G43,((((G$2-$B$2:G$2)-Inputs!$F$30)&lt;Inputs!$F$32)*(Inputs!$F$33&gt;((((G$2-$B$2:G$2)-Inputs!$F$30)&gt;0)*((G$2-$B$2:G$2)-Inputs!$F$30)/MAX(Inputs!$F$32,1)))*(Inputs!$F$33-((((G$2-$B$2:G$2)-Inputs!$F$30)&gt;0)*((G$2-$B$2:G$2)-Inputs!$F$30)/MAX(Inputs!$F$32,1)))),((1-Inputs!$F$34)^(1/12))^(G$2-$B$2:G$2))*G51</f>
        <v>0</v>
      </c>
      <c r="H53" s="77">
        <f>SUMPRODUCT($B43:H43,((((H$2-$B$2:H$2)-Inputs!$F$30)&lt;Inputs!$F$32)*(Inputs!$F$33&gt;((((H$2-$B$2:H$2)-Inputs!$F$30)&gt;0)*((H$2-$B$2:H$2)-Inputs!$F$30)/MAX(Inputs!$F$32,1)))*(Inputs!$F$33-((((H$2-$B$2:H$2)-Inputs!$F$30)&gt;0)*((H$2-$B$2:H$2)-Inputs!$F$30)/MAX(Inputs!$F$32,1)))),((1-Inputs!$F$34)^(1/12))^(H$2-$B$2:H$2))*H51</f>
        <v>0</v>
      </c>
      <c r="I53" s="77">
        <f>SUMPRODUCT($B43:I43,((((I$2-$B$2:I$2)-Inputs!$F$30)&lt;Inputs!$F$32)*(Inputs!$F$33&gt;((((I$2-$B$2:I$2)-Inputs!$F$30)&gt;0)*((I$2-$B$2:I$2)-Inputs!$F$30)/MAX(Inputs!$F$32,1)))*(Inputs!$F$33-((((I$2-$B$2:I$2)-Inputs!$F$30)&gt;0)*((I$2-$B$2:I$2)-Inputs!$F$30)/MAX(Inputs!$F$32,1)))),((1-Inputs!$F$34)^(1/12))^(I$2-$B$2:I$2))*I51</f>
        <v>0</v>
      </c>
      <c r="J53" s="77">
        <f>SUMPRODUCT($B43:J43,((((J$2-$B$2:J$2)-Inputs!$F$30)&lt;Inputs!$F$32)*(Inputs!$F$33&gt;((((J$2-$B$2:J$2)-Inputs!$F$30)&gt;0)*((J$2-$B$2:J$2)-Inputs!$F$30)/MAX(Inputs!$F$32,1)))*(Inputs!$F$33-((((J$2-$B$2:J$2)-Inputs!$F$30)&gt;0)*((J$2-$B$2:J$2)-Inputs!$F$30)/MAX(Inputs!$F$32,1)))),((1-Inputs!$F$34)^(1/12))^(J$2-$B$2:J$2))*J51</f>
        <v>0</v>
      </c>
      <c r="K53" s="77">
        <f>SUMPRODUCT($B43:K43,((((K$2-$B$2:K$2)-Inputs!$F$30)&lt;Inputs!$F$32)*(Inputs!$F$33&gt;((((K$2-$B$2:K$2)-Inputs!$F$30)&gt;0)*((K$2-$B$2:K$2)-Inputs!$F$30)/MAX(Inputs!$F$32,1)))*(Inputs!$F$33-((((K$2-$B$2:K$2)-Inputs!$F$30)&gt;0)*((K$2-$B$2:K$2)-Inputs!$F$30)/MAX(Inputs!$F$32,1)))),((1-Inputs!$F$34)^(1/12))^(K$2-$B$2:K$2))*K51</f>
        <v>0</v>
      </c>
      <c r="L53" s="77">
        <f>SUMPRODUCT($B43:L43,((((L$2-$B$2:L$2)-Inputs!$F$30)&lt;Inputs!$F$32)*(Inputs!$F$33&gt;((((L$2-$B$2:L$2)-Inputs!$F$30)&gt;0)*((L$2-$B$2:L$2)-Inputs!$F$30)/MAX(Inputs!$F$32,1)))*(Inputs!$F$33-((((L$2-$B$2:L$2)-Inputs!$F$30)&gt;0)*((L$2-$B$2:L$2)-Inputs!$F$30)/MAX(Inputs!$F$32,1)))),((1-Inputs!$F$34)^(1/12))^(L$2-$B$2:L$2))*L51</f>
        <v>0</v>
      </c>
      <c r="M53" s="77">
        <f>SUMPRODUCT($B43:M43,((((M$2-$B$2:M$2)-Inputs!$F$30)&lt;Inputs!$F$32)*(Inputs!$F$33&gt;((((M$2-$B$2:M$2)-Inputs!$F$30)&gt;0)*((M$2-$B$2:M$2)-Inputs!$F$30)/MAX(Inputs!$F$32,1)))*(Inputs!$F$33-((((M$2-$B$2:M$2)-Inputs!$F$30)&gt;0)*((M$2-$B$2:M$2)-Inputs!$F$30)/MAX(Inputs!$F$32,1)))),((1-Inputs!$F$34)^(1/12))^(M$2-$B$2:M$2))*M51</f>
        <v>0</v>
      </c>
      <c r="N53" s="77">
        <f>SUMPRODUCT($B43:N43,((((N$2-$B$2:N$2)-Inputs!$F$30)&lt;Inputs!$F$32)*(Inputs!$F$33&gt;((((N$2-$B$2:N$2)-Inputs!$F$30)&gt;0)*((N$2-$B$2:N$2)-Inputs!$F$30)/MAX(Inputs!$F$32,1)))*(Inputs!$F$33-((((N$2-$B$2:N$2)-Inputs!$F$30)&gt;0)*((N$2-$B$2:N$2)-Inputs!$F$30)/MAX(Inputs!$F$32,1)))),((1-Inputs!$F$34)^(1/12))^(N$2-$B$2:N$2))*N51</f>
        <v>0</v>
      </c>
      <c r="O53" s="77">
        <f>SUMPRODUCT($B43:O43,((((O$2-$B$2:O$2)-Inputs!$F$30)&lt;Inputs!$F$32)*(Inputs!$F$33&gt;((((O$2-$B$2:O$2)-Inputs!$F$30)&gt;0)*((O$2-$B$2:O$2)-Inputs!$F$30)/MAX(Inputs!$F$32,1)))*(Inputs!$F$33-((((O$2-$B$2:O$2)-Inputs!$F$30)&gt;0)*((O$2-$B$2:O$2)-Inputs!$F$30)/MAX(Inputs!$F$32,1)))),((1-Inputs!$F$34)^(1/12))^(O$2-$B$2:O$2))*O51</f>
        <v>0</v>
      </c>
      <c r="P53" s="77">
        <f>SUMPRODUCT($B43:P43,((((P$2-$B$2:P$2)-Inputs!$F$30)&lt;Inputs!$F$32)*(Inputs!$F$33&gt;((((P$2-$B$2:P$2)-Inputs!$F$30)&gt;0)*((P$2-$B$2:P$2)-Inputs!$F$30)/MAX(Inputs!$F$32,1)))*(Inputs!$F$33-((((P$2-$B$2:P$2)-Inputs!$F$30)&gt;0)*((P$2-$B$2:P$2)-Inputs!$F$30)/MAX(Inputs!$F$32,1)))),((1-Inputs!$F$34)^(1/12))^(P$2-$B$2:P$2))*P51</f>
        <v>0</v>
      </c>
      <c r="Q53" s="77">
        <f>SUMPRODUCT($B43:Q43,((((Q$2-$B$2:Q$2)-Inputs!$F$30)&lt;Inputs!$F$32)*(Inputs!$F$33&gt;((((Q$2-$B$2:Q$2)-Inputs!$F$30)&gt;0)*((Q$2-$B$2:Q$2)-Inputs!$F$30)/MAX(Inputs!$F$32,1)))*(Inputs!$F$33-((((Q$2-$B$2:Q$2)-Inputs!$F$30)&gt;0)*((Q$2-$B$2:Q$2)-Inputs!$F$30)/MAX(Inputs!$F$32,1)))),((1-Inputs!$F$34)^(1/12))^(Q$2-$B$2:Q$2))*Q51</f>
        <v>0</v>
      </c>
      <c r="R53" s="77">
        <f>SUMPRODUCT($B43:R43,((((R$2-$B$2:R$2)-Inputs!$F$30)&lt;Inputs!$F$32)*(Inputs!$F$33&gt;((((R$2-$B$2:R$2)-Inputs!$F$30)&gt;0)*((R$2-$B$2:R$2)-Inputs!$F$30)/MAX(Inputs!$F$32,1)))*(Inputs!$F$33-((((R$2-$B$2:R$2)-Inputs!$F$30)&gt;0)*((R$2-$B$2:R$2)-Inputs!$F$30)/MAX(Inputs!$F$32,1)))),((1-Inputs!$F$34)^(1/12))^(R$2-$B$2:R$2))*R51</f>
        <v>0</v>
      </c>
      <c r="S53" s="77">
        <f>SUMPRODUCT($B43:S43,((((S$2-$B$2:S$2)-Inputs!$F$30)&lt;Inputs!$F$32)*(Inputs!$F$33&gt;((((S$2-$B$2:S$2)-Inputs!$F$30)&gt;0)*((S$2-$B$2:S$2)-Inputs!$F$30)/MAX(Inputs!$F$32,1)))*(Inputs!$F$33-((((S$2-$B$2:S$2)-Inputs!$F$30)&gt;0)*((S$2-$B$2:S$2)-Inputs!$F$30)/MAX(Inputs!$F$32,1)))),((1-Inputs!$F$34)^(1/12))^(S$2-$B$2:S$2))*S51</f>
        <v>0</v>
      </c>
      <c r="T53" s="77">
        <f>SUMPRODUCT($B43:T43,((((T$2-$B$2:T$2)-Inputs!$F$30)&lt;Inputs!$F$32)*(Inputs!$F$33&gt;((((T$2-$B$2:T$2)-Inputs!$F$30)&gt;0)*((T$2-$B$2:T$2)-Inputs!$F$30)/MAX(Inputs!$F$32,1)))*(Inputs!$F$33-((((T$2-$B$2:T$2)-Inputs!$F$30)&gt;0)*((T$2-$B$2:T$2)-Inputs!$F$30)/MAX(Inputs!$F$32,1)))),((1-Inputs!$F$34)^(1/12))^(T$2-$B$2:T$2))*T51</f>
        <v>0</v>
      </c>
      <c r="U53" s="77">
        <f>SUMPRODUCT($B43:U43,((((U$2-$B$2:U$2)-Inputs!$F$30)&lt;Inputs!$F$32)*(Inputs!$F$33&gt;((((U$2-$B$2:U$2)-Inputs!$F$30)&gt;0)*((U$2-$B$2:U$2)-Inputs!$F$30)/MAX(Inputs!$F$32,1)))*(Inputs!$F$33-((((U$2-$B$2:U$2)-Inputs!$F$30)&gt;0)*((U$2-$B$2:U$2)-Inputs!$F$30)/MAX(Inputs!$F$32,1)))),((1-Inputs!$F$34)^(1/12))^(U$2-$B$2:U$2))*U51</f>
        <v>0</v>
      </c>
      <c r="V53" s="77">
        <f>SUMPRODUCT($B43:V43,((((V$2-$B$2:V$2)-Inputs!$F$30)&lt;Inputs!$F$32)*(Inputs!$F$33&gt;((((V$2-$B$2:V$2)-Inputs!$F$30)&gt;0)*((V$2-$B$2:V$2)-Inputs!$F$30)/MAX(Inputs!$F$32,1)))*(Inputs!$F$33-((((V$2-$B$2:V$2)-Inputs!$F$30)&gt;0)*((V$2-$B$2:V$2)-Inputs!$F$30)/MAX(Inputs!$F$32,1)))),((1-Inputs!$F$34)^(1/12))^(V$2-$B$2:V$2))*V51</f>
        <v>0</v>
      </c>
      <c r="W53" s="77">
        <f>SUMPRODUCT($B43:W43,((((W$2-$B$2:W$2)-Inputs!$F$30)&lt;Inputs!$F$32)*(Inputs!$F$33&gt;((((W$2-$B$2:W$2)-Inputs!$F$30)&gt;0)*((W$2-$B$2:W$2)-Inputs!$F$30)/MAX(Inputs!$F$32,1)))*(Inputs!$F$33-((((W$2-$B$2:W$2)-Inputs!$F$30)&gt;0)*((W$2-$B$2:W$2)-Inputs!$F$30)/MAX(Inputs!$F$32,1)))),((1-Inputs!$F$34)^(1/12))^(W$2-$B$2:W$2))*W51</f>
        <v>0</v>
      </c>
      <c r="X53" s="77">
        <f>SUMPRODUCT($B43:X43,((((X$2-$B$2:X$2)-Inputs!$F$30)&lt;Inputs!$F$32)*(Inputs!$F$33&gt;((((X$2-$B$2:X$2)-Inputs!$F$30)&gt;0)*((X$2-$B$2:X$2)-Inputs!$F$30)/MAX(Inputs!$F$32,1)))*(Inputs!$F$33-((((X$2-$B$2:X$2)-Inputs!$F$30)&gt;0)*((X$2-$B$2:X$2)-Inputs!$F$30)/MAX(Inputs!$F$32,1)))),((1-Inputs!$F$34)^(1/12))^(X$2-$B$2:X$2))*X51</f>
        <v>0</v>
      </c>
      <c r="Y53" s="77">
        <f>SUMPRODUCT($B43:Y43,((((Y$2-$B$2:Y$2)-Inputs!$F$30)&lt;Inputs!$F$32)*(Inputs!$F$33&gt;((((Y$2-$B$2:Y$2)-Inputs!$F$30)&gt;0)*((Y$2-$B$2:Y$2)-Inputs!$F$30)/MAX(Inputs!$F$32,1)))*(Inputs!$F$33-((((Y$2-$B$2:Y$2)-Inputs!$F$30)&gt;0)*((Y$2-$B$2:Y$2)-Inputs!$F$30)/MAX(Inputs!$F$32,1)))),((1-Inputs!$F$34)^(1/12))^(Y$2-$B$2:Y$2))*Y51</f>
        <v>0</v>
      </c>
      <c r="Z53" s="78">
        <f t="shared" si="16"/>
        <v>0</v>
      </c>
      <c r="AA53" s="78">
        <f t="shared" si="17"/>
        <v>0</v>
      </c>
    </row>
    <row r="54">
      <c r="A54" s="3"/>
      <c r="Z54" s="51"/>
      <c r="AA54" s="51"/>
    </row>
    <row r="55" collapsed="1">
      <c r="A55" s="4" t="s">
        <v>17</v>
      </c>
      <c r="B55" s="46"/>
      <c r="C55" s="46"/>
      <c r="D55" s="46"/>
      <c r="E55" s="46"/>
      <c r="F55" s="46"/>
      <c r="G55" s="46"/>
      <c r="H55" s="46"/>
      <c r="I55" s="46"/>
      <c r="J55" s="46"/>
      <c r="K55" s="46"/>
      <c r="L55" s="46"/>
      <c r="M55" s="46"/>
      <c r="N55" s="46"/>
      <c r="O55" s="46"/>
      <c r="P55" s="46"/>
      <c r="Q55" s="46"/>
      <c r="R55" s="46"/>
      <c r="S55" s="46"/>
      <c r="T55" s="46"/>
      <c r="U55" s="46"/>
      <c r="V55" s="46"/>
      <c r="W55" s="46"/>
      <c r="X55" s="46"/>
      <c r="Y55" s="46"/>
      <c r="Z55" s="46"/>
      <c r="AA55" s="46"/>
    </row>
    <row r="56" hidden="1" outlineLevel="1">
      <c r="A56" s="12" t="s">
        <v>343</v>
      </c>
      <c r="B56" s="51"/>
      <c r="C56" s="51"/>
      <c r="D56" s="51"/>
      <c r="E56" s="51"/>
      <c r="F56" s="51"/>
      <c r="G56" s="51"/>
      <c r="H56" s="51"/>
      <c r="I56" s="51"/>
      <c r="J56" s="51"/>
      <c r="K56" s="51"/>
      <c r="L56" s="51"/>
      <c r="M56" s="51"/>
      <c r="N56" s="51"/>
      <c r="O56" s="51"/>
      <c r="P56" s="51"/>
      <c r="Q56" s="51"/>
      <c r="R56" s="51"/>
      <c r="S56" s="51"/>
      <c r="T56" s="51"/>
      <c r="U56" s="51"/>
      <c r="V56" s="51"/>
      <c r="W56" s="51"/>
      <c r="X56" s="51"/>
      <c r="Y56" s="51"/>
      <c r="Z56" s="51"/>
      <c r="AA56" s="51"/>
    </row>
    <row r="57" hidden="1" outlineLevel="1">
      <c r="A57" s="6" t="s">
        <v>344</v>
      </c>
      <c r="B57" s="73">
        <f>Inputs!J$61</f>
        <v>2</v>
      </c>
      <c r="C57" s="73">
        <f>Inputs!K$61</f>
        <v>0</v>
      </c>
      <c r="D57" s="73">
        <f>Inputs!L$61</f>
        <v>0</v>
      </c>
      <c r="E57" s="73">
        <f>Inputs!M$61</f>
        <v>0</v>
      </c>
      <c r="F57" s="73">
        <f>Inputs!N$61</f>
        <v>0</v>
      </c>
      <c r="G57" s="73">
        <f>Inputs!O$61</f>
        <v>0</v>
      </c>
      <c r="H57" s="73">
        <f>Inputs!P$61</f>
        <v>0</v>
      </c>
      <c r="I57" s="73">
        <f>Inputs!Q$61</f>
        <v>0</v>
      </c>
      <c r="J57" s="73">
        <f>Inputs!R$61</f>
        <v>0</v>
      </c>
      <c r="K57" s="73">
        <f>Inputs!S$61</f>
        <v>0</v>
      </c>
      <c r="L57" s="73">
        <f>Inputs!T$61</f>
        <v>0</v>
      </c>
      <c r="M57" s="73">
        <f>Inputs!U$61</f>
        <v>0</v>
      </c>
      <c r="N57" s="73">
        <f>Inputs!V$61</f>
        <v>0</v>
      </c>
      <c r="O57" s="73">
        <f>Inputs!W$61</f>
        <v>0</v>
      </c>
      <c r="P57" s="73">
        <f>Inputs!X$61</f>
        <v>0</v>
      </c>
      <c r="Q57" s="73">
        <f>Inputs!Y$61</f>
        <v>0</v>
      </c>
      <c r="R57" s="73">
        <f>Inputs!Z$61</f>
        <v>0</v>
      </c>
      <c r="S57" s="73">
        <f>Inputs!AA$61</f>
        <v>0</v>
      </c>
      <c r="T57" s="73">
        <f>Inputs!AB$61</f>
        <v>0</v>
      </c>
      <c r="U57" s="73">
        <f>Inputs!AC$61</f>
        <v>0</v>
      </c>
      <c r="V57" s="73">
        <f>Inputs!AD$61</f>
        <v>0</v>
      </c>
      <c r="W57" s="73">
        <f>Inputs!AE$61</f>
        <v>0</v>
      </c>
      <c r="X57" s="73">
        <f>Inputs!AF$61</f>
        <v>0</v>
      </c>
      <c r="Y57" s="73">
        <f>Inputs!AG$61</f>
        <v>0</v>
      </c>
      <c r="Z57" s="72">
        <f>SUM(B57:M57)</f>
        <v>2</v>
      </c>
      <c r="AA57" s="72">
        <f>SUM(N57:Y57)</f>
        <v>0</v>
      </c>
    </row>
    <row r="58" hidden="1" outlineLevel="1">
      <c r="A58" s="6" t="s">
        <v>345</v>
      </c>
      <c r="B58" s="75">
        <f>IF(B$2=1,Inputs!$D$31,A60)</f>
        <v>2</v>
      </c>
      <c r="C58" s="75">
        <f>IF(C$2=1,Inputs!$D$31,B60)</f>
        <v>3.973096106</v>
      </c>
      <c r="D58" s="75">
        <f>IF(D$2=1,Inputs!$D$31,C60)</f>
        <v>3.919650228</v>
      </c>
      <c r="E58" s="75">
        <f>IF(E$2=1,Inputs!$D$31,D60)</f>
        <v>3.866923301</v>
      </c>
      <c r="F58" s="75">
        <f>IF(F$2=1,Inputs!$D$31,E60)</f>
        <v>3.814905653</v>
      </c>
      <c r="G58" s="75">
        <f>IF(G$2=1,Inputs!$D$31,F60)</f>
        <v>3.763587744</v>
      </c>
      <c r="H58" s="75">
        <f>IF(H$2=1,Inputs!$D$31,G60)</f>
        <v>3.712960162</v>
      </c>
      <c r="I58" s="75">
        <f>IF(I$2=1,Inputs!$D$31,H60)</f>
        <v>3.663013618</v>
      </c>
      <c r="J58" s="75">
        <f>IF(J$2=1,Inputs!$D$31,I60)</f>
        <v>3.613738953</v>
      </c>
      <c r="K58" s="75">
        <f>IF(K$2=1,Inputs!$D$31,J60)</f>
        <v>3.565127128</v>
      </c>
      <c r="L58" s="75">
        <f>IF(L$2=1,Inputs!$D$31,K60)</f>
        <v>3.517169227</v>
      </c>
      <c r="M58" s="75">
        <f>IF(M$2=1,Inputs!$D$31,L60)</f>
        <v>3.469856453</v>
      </c>
      <c r="N58" s="75">
        <f>IF(N$2=1,Inputs!$D$31,M60)</f>
        <v>3.423180128</v>
      </c>
      <c r="O58" s="75">
        <f>IF(O$2=1,Inputs!$D$31,N60)</f>
        <v>3.37713169</v>
      </c>
      <c r="P58" s="75">
        <f>IF(P$2=1,Inputs!$D$31,O60)</f>
        <v>3.331702694</v>
      </c>
      <c r="Q58" s="75">
        <f>IF(Q$2=1,Inputs!$D$31,P60)</f>
        <v>3.286884805</v>
      </c>
      <c r="R58" s="75">
        <f>IF(R$2=1,Inputs!$D$31,Q60)</f>
        <v>3.242669805</v>
      </c>
      <c r="S58" s="75">
        <f>IF(S$2=1,Inputs!$D$31,R60)</f>
        <v>3.199049583</v>
      </c>
      <c r="T58" s="75">
        <f>IF(T$2=1,Inputs!$D$31,S60)</f>
        <v>3.156016137</v>
      </c>
      <c r="U58" s="75">
        <f>IF(U$2=1,Inputs!$D$31,T60)</f>
        <v>3.113561575</v>
      </c>
      <c r="V58" s="75">
        <f>IF(V$2=1,Inputs!$D$31,U60)</f>
        <v>3.07167811</v>
      </c>
      <c r="W58" s="75">
        <f>IF(W$2=1,Inputs!$D$31,V60)</f>
        <v>3.030358059</v>
      </c>
      <c r="X58" s="75">
        <f>IF(X$2=1,Inputs!$D$31,W60)</f>
        <v>2.989593843</v>
      </c>
      <c r="Y58" s="75">
        <f>IF(Y$2=1,Inputs!$D$31,X60)</f>
        <v>2.949377985</v>
      </c>
      <c r="Z58" s="76"/>
      <c r="AA58" s="76"/>
    </row>
    <row r="59" hidden="1" outlineLevel="1">
      <c r="A59" s="6" t="s">
        <v>346</v>
      </c>
      <c r="B59" s="75">
        <f>B58*(1-((1-Inputs!$D$34)^(1/12)))</f>
        <v>0.02690389402</v>
      </c>
      <c r="C59" s="75">
        <f>C58*(1-((1-Inputs!$D$34)^(1/12)))</f>
        <v>0.05344587829</v>
      </c>
      <c r="D59" s="75">
        <f>D58*(1-((1-Inputs!$D$34)^(1/12)))</f>
        <v>0.05272692717</v>
      </c>
      <c r="E59" s="75">
        <f>E58*(1-((1-Inputs!$D$34)^(1/12)))</f>
        <v>0.05201764734</v>
      </c>
      <c r="F59" s="75">
        <f>F58*(1-((1-Inputs!$D$34)^(1/12)))</f>
        <v>0.0513179087</v>
      </c>
      <c r="G59" s="75">
        <f>G58*(1-((1-Inputs!$D$34)^(1/12)))</f>
        <v>0.05062758291</v>
      </c>
      <c r="H59" s="75">
        <f>H58*(1-((1-Inputs!$D$34)^(1/12)))</f>
        <v>0.04994654335</v>
      </c>
      <c r="I59" s="75">
        <f>I58*(1-((1-Inputs!$D$34)^(1/12)))</f>
        <v>0.0492746651</v>
      </c>
      <c r="J59" s="75">
        <f>J58*(1-((1-Inputs!$D$34)^(1/12)))</f>
        <v>0.04861182491</v>
      </c>
      <c r="K59" s="75">
        <f>K58*(1-((1-Inputs!$D$34)^(1/12)))</f>
        <v>0.04795790122</v>
      </c>
      <c r="L59" s="75">
        <f>L58*(1-((1-Inputs!$D$34)^(1/12)))</f>
        <v>0.04731277407</v>
      </c>
      <c r="M59" s="75">
        <f>M58*(1-((1-Inputs!$D$34)^(1/12)))</f>
        <v>0.04667632514</v>
      </c>
      <c r="N59" s="75">
        <f>N58*(1-((1-Inputs!$D$34)^(1/12)))</f>
        <v>0.04604843769</v>
      </c>
      <c r="O59" s="75">
        <f>O58*(1-((1-Inputs!$D$34)^(1/12)))</f>
        <v>0.04542899655</v>
      </c>
      <c r="P59" s="75">
        <f>P58*(1-((1-Inputs!$D$34)^(1/12)))</f>
        <v>0.04481788809</v>
      </c>
      <c r="Q59" s="75">
        <f>Q58*(1-((1-Inputs!$D$34)^(1/12)))</f>
        <v>0.04421500024</v>
      </c>
      <c r="R59" s="75">
        <f>R58*(1-((1-Inputs!$D$34)^(1/12)))</f>
        <v>0.0436202224</v>
      </c>
      <c r="S59" s="75">
        <f>S58*(1-((1-Inputs!$D$34)^(1/12)))</f>
        <v>0.04303344548</v>
      </c>
      <c r="T59" s="75">
        <f>T58*(1-((1-Inputs!$D$34)^(1/12)))</f>
        <v>0.04245456185</v>
      </c>
      <c r="U59" s="75">
        <f>U58*(1-((1-Inputs!$D$34)^(1/12)))</f>
        <v>0.04188346533</v>
      </c>
      <c r="V59" s="75">
        <f>V58*(1-((1-Inputs!$D$34)^(1/12)))</f>
        <v>0.04132005118</v>
      </c>
      <c r="W59" s="75">
        <f>W58*(1-((1-Inputs!$D$34)^(1/12)))</f>
        <v>0.04076421604</v>
      </c>
      <c r="X59" s="75">
        <f>X58*(1-((1-Inputs!$D$34)^(1/12)))</f>
        <v>0.04021585796</v>
      </c>
      <c r="Y59" s="75">
        <f>Y58*(1-((1-Inputs!$D$34)^(1/12)))</f>
        <v>0.03967487637</v>
      </c>
      <c r="Z59" s="76">
        <f>SUM(B59:M59)</f>
        <v>0.5768198722</v>
      </c>
      <c r="AA59" s="76">
        <f>SUM(N59:Y59)</f>
        <v>0.5134770192</v>
      </c>
    </row>
    <row r="60" hidden="1" outlineLevel="1">
      <c r="A60" s="6" t="s">
        <v>347</v>
      </c>
      <c r="B60" s="75">
        <f t="shared" ref="B60:Y60" si="18">B58+B57-B59</f>
        <v>3.973096106</v>
      </c>
      <c r="C60" s="75">
        <f t="shared" si="18"/>
        <v>3.919650228</v>
      </c>
      <c r="D60" s="75">
        <f t="shared" si="18"/>
        <v>3.866923301</v>
      </c>
      <c r="E60" s="75">
        <f t="shared" si="18"/>
        <v>3.814905653</v>
      </c>
      <c r="F60" s="75">
        <f t="shared" si="18"/>
        <v>3.763587744</v>
      </c>
      <c r="G60" s="75">
        <f t="shared" si="18"/>
        <v>3.712960162</v>
      </c>
      <c r="H60" s="75">
        <f t="shared" si="18"/>
        <v>3.663013618</v>
      </c>
      <c r="I60" s="75">
        <f t="shared" si="18"/>
        <v>3.613738953</v>
      </c>
      <c r="J60" s="75">
        <f t="shared" si="18"/>
        <v>3.565127128</v>
      </c>
      <c r="K60" s="75">
        <f t="shared" si="18"/>
        <v>3.517169227</v>
      </c>
      <c r="L60" s="75">
        <f t="shared" si="18"/>
        <v>3.469856453</v>
      </c>
      <c r="M60" s="75">
        <f t="shared" si="18"/>
        <v>3.423180128</v>
      </c>
      <c r="N60" s="75">
        <f t="shared" si="18"/>
        <v>3.37713169</v>
      </c>
      <c r="O60" s="75">
        <f t="shared" si="18"/>
        <v>3.331702694</v>
      </c>
      <c r="P60" s="75">
        <f t="shared" si="18"/>
        <v>3.286884805</v>
      </c>
      <c r="Q60" s="75">
        <f t="shared" si="18"/>
        <v>3.242669805</v>
      </c>
      <c r="R60" s="75">
        <f t="shared" si="18"/>
        <v>3.199049583</v>
      </c>
      <c r="S60" s="75">
        <f t="shared" si="18"/>
        <v>3.156016137</v>
      </c>
      <c r="T60" s="75">
        <f t="shared" si="18"/>
        <v>3.113561575</v>
      </c>
      <c r="U60" s="75">
        <f t="shared" si="18"/>
        <v>3.07167811</v>
      </c>
      <c r="V60" s="75">
        <f t="shared" si="18"/>
        <v>3.030358059</v>
      </c>
      <c r="W60" s="75">
        <f t="shared" si="18"/>
        <v>2.989593843</v>
      </c>
      <c r="X60" s="75">
        <f t="shared" si="18"/>
        <v>2.949377985</v>
      </c>
      <c r="Y60" s="75">
        <f t="shared" si="18"/>
        <v>2.909703109</v>
      </c>
      <c r="Z60" s="76">
        <f>M60</f>
        <v>3.423180128</v>
      </c>
      <c r="AA60" s="76">
        <f>Y60</f>
        <v>2.909703109</v>
      </c>
    </row>
    <row r="61" hidden="1" outlineLevel="1">
      <c r="A61" s="6" t="s">
        <v>348</v>
      </c>
      <c r="B61" s="75">
        <f>SUMPRODUCT($B57:B57,(((B$2-$B$2:B$2)&gt;=Inputs!$D$32)+((B$2-$B$2:B$2)&lt;Inputs!$D$32)*(B$2-$B$2:B$2)/MAX(Inputs!$D$32,1)),((1-Inputs!$D$34)^(1/12))^(B$2-$B$2:B$2))</f>
        <v>0</v>
      </c>
      <c r="C61" s="75">
        <f>SUMPRODUCT($B57:C57,(((C$2-$B$2:C$2)&gt;=Inputs!$D$32)+((C$2-$B$2:C$2)&lt;Inputs!$D$32)*(C$2-$B$2:C$2)/MAX(Inputs!$D$32,1)),((1-Inputs!$D$34)^(1/12))^(C$2-$B$2:C$2))</f>
        <v>0.4932740265</v>
      </c>
      <c r="D61" s="75">
        <f>SUMPRODUCT($B57:D57,(((D$2-$B$2:D$2)&gt;=Inputs!$D$32)+((D$2-$B$2:D$2)&lt;Inputs!$D$32)*(D$2-$B$2:D$2)/MAX(Inputs!$D$32,1)),((1-Inputs!$D$34)^(1/12))^(D$2-$B$2:D$2))</f>
        <v>0.9732770609</v>
      </c>
      <c r="E61" s="75">
        <f>SUMPRODUCT($B57:E57,(((E$2-$B$2:E$2)&gt;=Inputs!$D$32)+((E$2-$B$2:E$2)&lt;Inputs!$D$32)*(E$2-$B$2:E$2)/MAX(Inputs!$D$32,1)),((1-Inputs!$D$34)^(1/12))^(E$2-$B$2:E$2))</f>
        <v>1.440276884</v>
      </c>
      <c r="F61" s="75">
        <f>SUMPRODUCT($B57:F57,(((F$2-$B$2:F$2)&gt;=Inputs!$D$32)+((F$2-$B$2:F$2)&lt;Inputs!$D$32)*(F$2-$B$2:F$2)/MAX(Inputs!$D$32,1)),((1-Inputs!$D$34)^(1/12))^(F$2-$B$2:F$2))</f>
        <v>1.894536474</v>
      </c>
      <c r="G61" s="75">
        <f>SUMPRODUCT($B57:G57,(((G$2-$B$2:G$2)&gt;=Inputs!$D$32)+((G$2-$B$2:G$2)&lt;Inputs!$D$32)*(G$2-$B$2:G$2)/MAX(Inputs!$D$32,1)),((1-Inputs!$D$34)^(1/12))^(G$2-$B$2:G$2))</f>
        <v>1.86905127</v>
      </c>
      <c r="H61" s="75">
        <f>SUMPRODUCT($B57:H57,(((H$2-$B$2:H$2)&gt;=Inputs!$D$32)+((H$2-$B$2:H$2)&lt;Inputs!$D$32)*(H$2-$B$2:H$2)/MAX(Inputs!$D$32,1)),((1-Inputs!$D$34)^(1/12))^(H$2-$B$2:H$2))</f>
        <v>1.843908891</v>
      </c>
      <c r="I61" s="75">
        <f>SUMPRODUCT($B57:I57,(((I$2-$B$2:I$2)&gt;=Inputs!$D$32)+((I$2-$B$2:I$2)&lt;Inputs!$D$32)*(I$2-$B$2:I$2)/MAX(Inputs!$D$32,1)),((1-Inputs!$D$34)^(1/12))^(I$2-$B$2:I$2))</f>
        <v>1.819104727</v>
      </c>
      <c r="J61" s="75">
        <f>SUMPRODUCT($B57:J57,(((J$2-$B$2:J$2)&gt;=Inputs!$D$32)+((J$2-$B$2:J$2)&lt;Inputs!$D$32)*(J$2-$B$2:J$2)/MAX(Inputs!$D$32,1)),((1-Inputs!$D$34)^(1/12))^(J$2-$B$2:J$2))</f>
        <v>1.794634226</v>
      </c>
      <c r="K61" s="75">
        <f>SUMPRODUCT($B57:K57,(((K$2-$B$2:K$2)&gt;=Inputs!$D$32)+((K$2-$B$2:K$2)&lt;Inputs!$D$32)*(K$2-$B$2:K$2)/MAX(Inputs!$D$32,1)),((1-Inputs!$D$34)^(1/12))^(K$2-$B$2:K$2))</f>
        <v>1.770492902</v>
      </c>
      <c r="L61" s="75">
        <f>SUMPRODUCT($B57:L57,(((L$2-$B$2:L$2)&gt;=Inputs!$D$32)+((L$2-$B$2:L$2)&lt;Inputs!$D$32)*(L$2-$B$2:L$2)/MAX(Inputs!$D$32,1)),((1-Inputs!$D$34)^(1/12))^(L$2-$B$2:L$2))</f>
        <v>1.746676325</v>
      </c>
      <c r="M61" s="75">
        <f>SUMPRODUCT($B57:M57,(((M$2-$B$2:M$2)&gt;=Inputs!$D$32)+((M$2-$B$2:M$2)&lt;Inputs!$D$32)*(M$2-$B$2:M$2)/MAX(Inputs!$D$32,1)),((1-Inputs!$D$34)^(1/12))^(M$2-$B$2:M$2))</f>
        <v>1.723180128</v>
      </c>
      <c r="N61" s="75">
        <f>SUMPRODUCT($B57:N57,(((N$2-$B$2:N$2)&gt;=Inputs!$D$32)+((N$2-$B$2:N$2)&lt;Inputs!$D$32)*(N$2-$B$2:N$2)/MAX(Inputs!$D$32,1)),((1-Inputs!$D$34)^(1/12))^(N$2-$B$2:N$2))</f>
        <v>1.7</v>
      </c>
      <c r="O61" s="75">
        <f>SUMPRODUCT($B57:O57,(((O$2-$B$2:O$2)&gt;=Inputs!$D$32)+((O$2-$B$2:O$2)&lt;Inputs!$D$32)*(O$2-$B$2:O$2)/MAX(Inputs!$D$32,1)),((1-Inputs!$D$34)^(1/12))^(O$2-$B$2:O$2))</f>
        <v>1.67713169</v>
      </c>
      <c r="P61" s="75">
        <f>SUMPRODUCT($B57:P57,(((P$2-$B$2:P$2)&gt;=Inputs!$D$32)+((P$2-$B$2:P$2)&lt;Inputs!$D$32)*(P$2-$B$2:P$2)/MAX(Inputs!$D$32,1)),((1-Inputs!$D$34)^(1/12))^(P$2-$B$2:P$2))</f>
        <v>1.654571003</v>
      </c>
      <c r="Q61" s="75">
        <f>SUMPRODUCT($B57:Q57,(((Q$2-$B$2:Q$2)&gt;=Inputs!$D$32)+((Q$2-$B$2:Q$2)&lt;Inputs!$D$32)*(Q$2-$B$2:Q$2)/MAX(Inputs!$D$32,1)),((1-Inputs!$D$34)^(1/12))^(Q$2-$B$2:Q$2))</f>
        <v>1.632313802</v>
      </c>
      <c r="R61" s="75">
        <f>SUMPRODUCT($B57:R57,(((R$2-$B$2:R$2)&gt;=Inputs!$D$32)+((R$2-$B$2:R$2)&lt;Inputs!$D$32)*(R$2-$B$2:R$2)/MAX(Inputs!$D$32,1)),((1-Inputs!$D$34)^(1/12))^(R$2-$B$2:R$2))</f>
        <v>1.610356003</v>
      </c>
      <c r="S61" s="75">
        <f>SUMPRODUCT($B57:S57,(((S$2-$B$2:S$2)&gt;=Inputs!$D$32)+((S$2-$B$2:S$2)&lt;Inputs!$D$32)*(S$2-$B$2:S$2)/MAX(Inputs!$D$32,1)),((1-Inputs!$D$34)^(1/12))^(S$2-$B$2:S$2))</f>
        <v>1.58869358</v>
      </c>
      <c r="T61" s="75">
        <f>SUMPRODUCT($B57:T57,(((T$2-$B$2:T$2)&gt;=Inputs!$D$32)+((T$2-$B$2:T$2)&lt;Inputs!$D$32)*(T$2-$B$2:T$2)/MAX(Inputs!$D$32,1)),((1-Inputs!$D$34)^(1/12))^(T$2-$B$2:T$2))</f>
        <v>1.567322558</v>
      </c>
      <c r="U61" s="75">
        <f>SUMPRODUCT($B57:U57,(((U$2-$B$2:U$2)&gt;=Inputs!$D$32)+((U$2-$B$2:U$2)&lt;Inputs!$D$32)*(U$2-$B$2:U$2)/MAX(Inputs!$D$32,1)),((1-Inputs!$D$34)^(1/12))^(U$2-$B$2:U$2))</f>
        <v>1.546239018</v>
      </c>
      <c r="V61" s="75">
        <f>SUMPRODUCT($B57:V57,(((V$2-$B$2:V$2)&gt;=Inputs!$D$32)+((V$2-$B$2:V$2)&lt;Inputs!$D$32)*(V$2-$B$2:V$2)/MAX(Inputs!$D$32,1)),((1-Inputs!$D$34)^(1/12))^(V$2-$B$2:V$2))</f>
        <v>1.525439092</v>
      </c>
      <c r="W61" s="75">
        <f>SUMPRODUCT($B57:W57,(((W$2-$B$2:W$2)&gt;=Inputs!$D$32)+((W$2-$B$2:W$2)&lt;Inputs!$D$32)*(W$2-$B$2:W$2)/MAX(Inputs!$D$32,1)),((1-Inputs!$D$34)^(1/12))^(W$2-$B$2:W$2))</f>
        <v>1.504918967</v>
      </c>
      <c r="X61" s="75">
        <f>SUMPRODUCT($B57:X57,(((X$2-$B$2:X$2)&gt;=Inputs!$D$32)+((X$2-$B$2:X$2)&lt;Inputs!$D$32)*(X$2-$B$2:X$2)/MAX(Inputs!$D$32,1)),((1-Inputs!$D$34)^(1/12))^(X$2-$B$2:X$2))</f>
        <v>1.484674876</v>
      </c>
      <c r="Y61" s="75">
        <f>SUMPRODUCT($B57:Y57,(((Y$2-$B$2:Y$2)&gt;=Inputs!$D$32)+((Y$2-$B$2:Y$2)&lt;Inputs!$D$32)*(Y$2-$B$2:Y$2)/MAX(Inputs!$D$32,1)),((1-Inputs!$D$34)^(1/12))^(Y$2-$B$2:Y$2))</f>
        <v>1.464703109</v>
      </c>
      <c r="Z61" s="76"/>
      <c r="AA61" s="76"/>
    </row>
    <row r="62" hidden="1" outlineLevel="1">
      <c r="A62" s="6" t="s">
        <v>349</v>
      </c>
      <c r="B62" s="75">
        <f>SUMPRODUCT($B57:B57,((((B$2-$B$2:B$2)-Inputs!$D$30)&gt;=Inputs!$D$32)+(((B$2-$B$2:B$2)-Inputs!$D$30)&lt;Inputs!$D$32)*((((B$2-$B$2:B$2)-Inputs!$D$30)/MAX(Inputs!$D$32,1)&gt;Inputs!$D$33)*((B$2-$B$2:B$2)-Inputs!$D$30)/MAX(Inputs!$D$32,1)+(((B$2-$B$2:B$2)-Inputs!$D$30)/MAX(Inputs!$D$32,1)&lt;=Inputs!$D$33)*Inputs!$D$33)),((1-Inputs!$D$34)^(1/12))^(B$2-$B$2:B$2))</f>
        <v>0</v>
      </c>
      <c r="C62" s="75">
        <f>SUMPRODUCT($B57:C57,((((C$2-$B$2:C$2)-Inputs!$D$30)&gt;=Inputs!$D$32)+(((C$2-$B$2:C$2)-Inputs!$D$30)&lt;Inputs!$D$32)*((((C$2-$B$2:C$2)-Inputs!$D$30)/MAX(Inputs!$D$32,1)&gt;Inputs!$D$33)*((C$2-$B$2:C$2)-Inputs!$D$30)/MAX(Inputs!$D$32,1)+(((C$2-$B$2:C$2)-Inputs!$D$30)/MAX(Inputs!$D$32,1)&lt;=Inputs!$D$33)*Inputs!$D$33)),((1-Inputs!$D$34)^(1/12))^(C$2-$B$2:C$2))</f>
        <v>0</v>
      </c>
      <c r="D62" s="75">
        <f>SUMPRODUCT($B57:D57,((((D$2-$B$2:D$2)-Inputs!$D$30)&gt;=Inputs!$D$32)+(((D$2-$B$2:D$2)-Inputs!$D$30)&lt;Inputs!$D$32)*((((D$2-$B$2:D$2)-Inputs!$D$30)/MAX(Inputs!$D$32,1)&gt;Inputs!$D$33)*((D$2-$B$2:D$2)-Inputs!$D$30)/MAX(Inputs!$D$32,1)+(((D$2-$B$2:D$2)-Inputs!$D$30)/MAX(Inputs!$D$32,1)&lt;=Inputs!$D$33)*Inputs!$D$33)),((1-Inputs!$D$34)^(1/12))^(D$2-$B$2:D$2))</f>
        <v>0</v>
      </c>
      <c r="E62" s="75">
        <f>SUMPRODUCT($B57:E57,((((E$2-$B$2:E$2)-Inputs!$D$30)&gt;=Inputs!$D$32)+(((E$2-$B$2:E$2)-Inputs!$D$30)&lt;Inputs!$D$32)*((((E$2-$B$2:E$2)-Inputs!$D$30)/MAX(Inputs!$D$32,1)&gt;Inputs!$D$33)*((E$2-$B$2:E$2)-Inputs!$D$30)/MAX(Inputs!$D$32,1)+(((E$2-$B$2:E$2)-Inputs!$D$30)/MAX(Inputs!$D$32,1)&lt;=Inputs!$D$33)*Inputs!$D$33)),((1-Inputs!$D$34)^(1/12))^(E$2-$B$2:E$2))</f>
        <v>0</v>
      </c>
      <c r="F62" s="75">
        <f>SUMPRODUCT($B57:F57,((((F$2-$B$2:F$2)-Inputs!$D$30)&gt;=Inputs!$D$32)+(((F$2-$B$2:F$2)-Inputs!$D$30)&lt;Inputs!$D$32)*((((F$2-$B$2:F$2)-Inputs!$D$30)/MAX(Inputs!$D$32,1)&gt;Inputs!$D$33)*((F$2-$B$2:F$2)-Inputs!$D$30)/MAX(Inputs!$D$32,1)+(((F$2-$B$2:F$2)-Inputs!$D$30)/MAX(Inputs!$D$32,1)&lt;=Inputs!$D$33)*Inputs!$D$33)),((1-Inputs!$D$34)^(1/12))^(F$2-$B$2:F$2))</f>
        <v>0</v>
      </c>
      <c r="G62" s="75">
        <f>SUMPRODUCT($B57:G57,((((G$2-$B$2:G$2)-Inputs!$D$30)&gt;=Inputs!$D$32)+(((G$2-$B$2:G$2)-Inputs!$D$30)&lt;Inputs!$D$32)*((((G$2-$B$2:G$2)-Inputs!$D$30)/MAX(Inputs!$D$32,1)&gt;Inputs!$D$33)*((G$2-$B$2:G$2)-Inputs!$D$30)/MAX(Inputs!$D$32,1)+(((G$2-$B$2:G$2)-Inputs!$D$30)/MAX(Inputs!$D$32,1)&lt;=Inputs!$D$33)*Inputs!$D$33)),((1-Inputs!$D$34)^(1/12))^(G$2-$B$2:G$2))</f>
        <v>0</v>
      </c>
      <c r="H62" s="75">
        <f>SUMPRODUCT($B57:H57,((((H$2-$B$2:H$2)-Inputs!$D$30)&gt;=Inputs!$D$32)+(((H$2-$B$2:H$2)-Inputs!$D$30)&lt;Inputs!$D$32)*((((H$2-$B$2:H$2)-Inputs!$D$30)/MAX(Inputs!$D$32,1)&gt;Inputs!$D$33)*((H$2-$B$2:H$2)-Inputs!$D$30)/MAX(Inputs!$D$32,1)+(((H$2-$B$2:H$2)-Inputs!$D$30)/MAX(Inputs!$D$32,1)&lt;=Inputs!$D$33)*Inputs!$D$33)),((1-Inputs!$D$34)^(1/12))^(H$2-$B$2:H$2))</f>
        <v>0</v>
      </c>
      <c r="I62" s="75">
        <f>SUMPRODUCT($B57:I57,((((I$2-$B$2:I$2)-Inputs!$D$30)&gt;=Inputs!$D$32)+(((I$2-$B$2:I$2)-Inputs!$D$30)&lt;Inputs!$D$32)*((((I$2-$B$2:I$2)-Inputs!$D$30)/MAX(Inputs!$D$32,1)&gt;Inputs!$D$33)*((I$2-$B$2:I$2)-Inputs!$D$30)/MAX(Inputs!$D$32,1)+(((I$2-$B$2:I$2)-Inputs!$D$30)/MAX(Inputs!$D$32,1)&lt;=Inputs!$D$33)*Inputs!$D$33)),((1-Inputs!$D$34)^(1/12))^(I$2-$B$2:I$2))</f>
        <v>0.4547761817</v>
      </c>
      <c r="J62" s="75">
        <f>SUMPRODUCT($B57:J57,((((J$2-$B$2:J$2)-Inputs!$D$30)&gt;=Inputs!$D$32)+(((J$2-$B$2:J$2)-Inputs!$D$30)&lt;Inputs!$D$32)*((((J$2-$B$2:J$2)-Inputs!$D$30)/MAX(Inputs!$D$32,1)&gt;Inputs!$D$33)*((J$2-$B$2:J$2)-Inputs!$D$30)/MAX(Inputs!$D$32,1)+(((J$2-$B$2:J$2)-Inputs!$D$30)/MAX(Inputs!$D$32,1)&lt;=Inputs!$D$33)*Inputs!$D$33)),((1-Inputs!$D$34)^(1/12))^(J$2-$B$2:J$2))</f>
        <v>0.8973171132</v>
      </c>
      <c r="K62" s="75">
        <f>SUMPRODUCT($B57:K57,((((K$2-$B$2:K$2)-Inputs!$D$30)&gt;=Inputs!$D$32)+(((K$2-$B$2:K$2)-Inputs!$D$30)&lt;Inputs!$D$32)*((((K$2-$B$2:K$2)-Inputs!$D$30)/MAX(Inputs!$D$32,1)&gt;Inputs!$D$33)*((K$2-$B$2:K$2)-Inputs!$D$30)/MAX(Inputs!$D$32,1)+(((K$2-$B$2:K$2)-Inputs!$D$30)/MAX(Inputs!$D$32,1)&lt;=Inputs!$D$33)*Inputs!$D$33)),((1-Inputs!$D$34)^(1/12))^(K$2-$B$2:K$2))</f>
        <v>1.327869676</v>
      </c>
      <c r="L62" s="75">
        <f>SUMPRODUCT($B57:L57,((((L$2-$B$2:L$2)-Inputs!$D$30)&gt;=Inputs!$D$32)+(((L$2-$B$2:L$2)-Inputs!$D$30)&lt;Inputs!$D$32)*((((L$2-$B$2:L$2)-Inputs!$D$30)/MAX(Inputs!$D$32,1)&gt;Inputs!$D$33)*((L$2-$B$2:L$2)-Inputs!$D$30)/MAX(Inputs!$D$32,1)+(((L$2-$B$2:L$2)-Inputs!$D$30)/MAX(Inputs!$D$32,1)&lt;=Inputs!$D$33)*Inputs!$D$33)),((1-Inputs!$D$34)^(1/12))^(L$2-$B$2:L$2))</f>
        <v>1.746676325</v>
      </c>
      <c r="M62" s="75">
        <f>SUMPRODUCT($B57:M57,((((M$2-$B$2:M$2)-Inputs!$D$30)&gt;=Inputs!$D$32)+(((M$2-$B$2:M$2)-Inputs!$D$30)&lt;Inputs!$D$32)*((((M$2-$B$2:M$2)-Inputs!$D$30)/MAX(Inputs!$D$32,1)&gt;Inputs!$D$33)*((M$2-$B$2:M$2)-Inputs!$D$30)/MAX(Inputs!$D$32,1)+(((M$2-$B$2:M$2)-Inputs!$D$30)/MAX(Inputs!$D$32,1)&lt;=Inputs!$D$33)*Inputs!$D$33)),((1-Inputs!$D$34)^(1/12))^(M$2-$B$2:M$2))</f>
        <v>1.723180128</v>
      </c>
      <c r="N62" s="75">
        <f>SUMPRODUCT($B57:N57,((((N$2-$B$2:N$2)-Inputs!$D$30)&gt;=Inputs!$D$32)+(((N$2-$B$2:N$2)-Inputs!$D$30)&lt;Inputs!$D$32)*((((N$2-$B$2:N$2)-Inputs!$D$30)/MAX(Inputs!$D$32,1)&gt;Inputs!$D$33)*((N$2-$B$2:N$2)-Inputs!$D$30)/MAX(Inputs!$D$32,1)+(((N$2-$B$2:N$2)-Inputs!$D$30)/MAX(Inputs!$D$32,1)&lt;=Inputs!$D$33)*Inputs!$D$33)),((1-Inputs!$D$34)^(1/12))^(N$2-$B$2:N$2))</f>
        <v>1.7</v>
      </c>
      <c r="O62" s="75">
        <f>SUMPRODUCT($B57:O57,((((O$2-$B$2:O$2)-Inputs!$D$30)&gt;=Inputs!$D$32)+(((O$2-$B$2:O$2)-Inputs!$D$30)&lt;Inputs!$D$32)*((((O$2-$B$2:O$2)-Inputs!$D$30)/MAX(Inputs!$D$32,1)&gt;Inputs!$D$33)*((O$2-$B$2:O$2)-Inputs!$D$30)/MAX(Inputs!$D$32,1)+(((O$2-$B$2:O$2)-Inputs!$D$30)/MAX(Inputs!$D$32,1)&lt;=Inputs!$D$33)*Inputs!$D$33)),((1-Inputs!$D$34)^(1/12))^(O$2-$B$2:O$2))</f>
        <v>1.67713169</v>
      </c>
      <c r="P62" s="75">
        <f>SUMPRODUCT($B57:P57,((((P$2-$B$2:P$2)-Inputs!$D$30)&gt;=Inputs!$D$32)+(((P$2-$B$2:P$2)-Inputs!$D$30)&lt;Inputs!$D$32)*((((P$2-$B$2:P$2)-Inputs!$D$30)/MAX(Inputs!$D$32,1)&gt;Inputs!$D$33)*((P$2-$B$2:P$2)-Inputs!$D$30)/MAX(Inputs!$D$32,1)+(((P$2-$B$2:P$2)-Inputs!$D$30)/MAX(Inputs!$D$32,1)&lt;=Inputs!$D$33)*Inputs!$D$33)),((1-Inputs!$D$34)^(1/12))^(P$2-$B$2:P$2))</f>
        <v>1.654571003</v>
      </c>
      <c r="Q62" s="75">
        <f>SUMPRODUCT($B57:Q57,((((Q$2-$B$2:Q$2)-Inputs!$D$30)&gt;=Inputs!$D$32)+(((Q$2-$B$2:Q$2)-Inputs!$D$30)&lt;Inputs!$D$32)*((((Q$2-$B$2:Q$2)-Inputs!$D$30)/MAX(Inputs!$D$32,1)&gt;Inputs!$D$33)*((Q$2-$B$2:Q$2)-Inputs!$D$30)/MAX(Inputs!$D$32,1)+(((Q$2-$B$2:Q$2)-Inputs!$D$30)/MAX(Inputs!$D$32,1)&lt;=Inputs!$D$33)*Inputs!$D$33)),((1-Inputs!$D$34)^(1/12))^(Q$2-$B$2:Q$2))</f>
        <v>1.632313802</v>
      </c>
      <c r="R62" s="75">
        <f>SUMPRODUCT($B57:R57,((((R$2-$B$2:R$2)-Inputs!$D$30)&gt;=Inputs!$D$32)+(((R$2-$B$2:R$2)-Inputs!$D$30)&lt;Inputs!$D$32)*((((R$2-$B$2:R$2)-Inputs!$D$30)/MAX(Inputs!$D$32,1)&gt;Inputs!$D$33)*((R$2-$B$2:R$2)-Inputs!$D$30)/MAX(Inputs!$D$32,1)+(((R$2-$B$2:R$2)-Inputs!$D$30)/MAX(Inputs!$D$32,1)&lt;=Inputs!$D$33)*Inputs!$D$33)),((1-Inputs!$D$34)^(1/12))^(R$2-$B$2:R$2))</f>
        <v>1.610356003</v>
      </c>
      <c r="S62" s="75">
        <f>SUMPRODUCT($B57:S57,((((S$2-$B$2:S$2)-Inputs!$D$30)&gt;=Inputs!$D$32)+(((S$2-$B$2:S$2)-Inputs!$D$30)&lt;Inputs!$D$32)*((((S$2-$B$2:S$2)-Inputs!$D$30)/MAX(Inputs!$D$32,1)&gt;Inputs!$D$33)*((S$2-$B$2:S$2)-Inputs!$D$30)/MAX(Inputs!$D$32,1)+(((S$2-$B$2:S$2)-Inputs!$D$30)/MAX(Inputs!$D$32,1)&lt;=Inputs!$D$33)*Inputs!$D$33)),((1-Inputs!$D$34)^(1/12))^(S$2-$B$2:S$2))</f>
        <v>1.58869358</v>
      </c>
      <c r="T62" s="75">
        <f>SUMPRODUCT($B57:T57,((((T$2-$B$2:T$2)-Inputs!$D$30)&gt;=Inputs!$D$32)+(((T$2-$B$2:T$2)-Inputs!$D$30)&lt;Inputs!$D$32)*((((T$2-$B$2:T$2)-Inputs!$D$30)/MAX(Inputs!$D$32,1)&gt;Inputs!$D$33)*((T$2-$B$2:T$2)-Inputs!$D$30)/MAX(Inputs!$D$32,1)+(((T$2-$B$2:T$2)-Inputs!$D$30)/MAX(Inputs!$D$32,1)&lt;=Inputs!$D$33)*Inputs!$D$33)),((1-Inputs!$D$34)^(1/12))^(T$2-$B$2:T$2))</f>
        <v>1.567322558</v>
      </c>
      <c r="U62" s="75">
        <f>SUMPRODUCT($B57:U57,((((U$2-$B$2:U$2)-Inputs!$D$30)&gt;=Inputs!$D$32)+(((U$2-$B$2:U$2)-Inputs!$D$30)&lt;Inputs!$D$32)*((((U$2-$B$2:U$2)-Inputs!$D$30)/MAX(Inputs!$D$32,1)&gt;Inputs!$D$33)*((U$2-$B$2:U$2)-Inputs!$D$30)/MAX(Inputs!$D$32,1)+(((U$2-$B$2:U$2)-Inputs!$D$30)/MAX(Inputs!$D$32,1)&lt;=Inputs!$D$33)*Inputs!$D$33)),((1-Inputs!$D$34)^(1/12))^(U$2-$B$2:U$2))</f>
        <v>1.546239018</v>
      </c>
      <c r="V62" s="75">
        <f>SUMPRODUCT($B57:V57,((((V$2-$B$2:V$2)-Inputs!$D$30)&gt;=Inputs!$D$32)+(((V$2-$B$2:V$2)-Inputs!$D$30)&lt;Inputs!$D$32)*((((V$2-$B$2:V$2)-Inputs!$D$30)/MAX(Inputs!$D$32,1)&gt;Inputs!$D$33)*((V$2-$B$2:V$2)-Inputs!$D$30)/MAX(Inputs!$D$32,1)+(((V$2-$B$2:V$2)-Inputs!$D$30)/MAX(Inputs!$D$32,1)&lt;=Inputs!$D$33)*Inputs!$D$33)),((1-Inputs!$D$34)^(1/12))^(V$2-$B$2:V$2))</f>
        <v>1.525439092</v>
      </c>
      <c r="W62" s="75">
        <f>SUMPRODUCT($B57:W57,((((W$2-$B$2:W$2)-Inputs!$D$30)&gt;=Inputs!$D$32)+(((W$2-$B$2:W$2)-Inputs!$D$30)&lt;Inputs!$D$32)*((((W$2-$B$2:W$2)-Inputs!$D$30)/MAX(Inputs!$D$32,1)&gt;Inputs!$D$33)*((W$2-$B$2:W$2)-Inputs!$D$30)/MAX(Inputs!$D$32,1)+(((W$2-$B$2:W$2)-Inputs!$D$30)/MAX(Inputs!$D$32,1)&lt;=Inputs!$D$33)*Inputs!$D$33)),((1-Inputs!$D$34)^(1/12))^(W$2-$B$2:W$2))</f>
        <v>1.504918967</v>
      </c>
      <c r="X62" s="75">
        <f>SUMPRODUCT($B57:X57,((((X$2-$B$2:X$2)-Inputs!$D$30)&gt;=Inputs!$D$32)+(((X$2-$B$2:X$2)-Inputs!$D$30)&lt;Inputs!$D$32)*((((X$2-$B$2:X$2)-Inputs!$D$30)/MAX(Inputs!$D$32,1)&gt;Inputs!$D$33)*((X$2-$B$2:X$2)-Inputs!$D$30)/MAX(Inputs!$D$32,1)+(((X$2-$B$2:X$2)-Inputs!$D$30)/MAX(Inputs!$D$32,1)&lt;=Inputs!$D$33)*Inputs!$D$33)),((1-Inputs!$D$34)^(1/12))^(X$2-$B$2:X$2))</f>
        <v>1.484674876</v>
      </c>
      <c r="Y62" s="75">
        <f>SUMPRODUCT($B57:Y57,((((Y$2-$B$2:Y$2)-Inputs!$D$30)&gt;=Inputs!$D$32)+(((Y$2-$B$2:Y$2)-Inputs!$D$30)&lt;Inputs!$D$32)*((((Y$2-$B$2:Y$2)-Inputs!$D$30)/MAX(Inputs!$D$32,1)&gt;Inputs!$D$33)*((Y$2-$B$2:Y$2)-Inputs!$D$30)/MAX(Inputs!$D$32,1)+(((Y$2-$B$2:Y$2)-Inputs!$D$30)/MAX(Inputs!$D$32,1)&lt;=Inputs!$D$33)*Inputs!$D$33)),((1-Inputs!$D$34)^(1/12))^(Y$2-$B$2:Y$2))</f>
        <v>1.464703109</v>
      </c>
      <c r="Z62" s="76"/>
      <c r="AA62" s="76"/>
    </row>
    <row r="63" hidden="1" outlineLevel="1">
      <c r="A63" s="6" t="s">
        <v>350</v>
      </c>
      <c r="B63" s="75">
        <f>Inputs!$D$31*((1-Inputs!$D$34)^(1/12))^B$2+B62</f>
        <v>1.973096106</v>
      </c>
      <c r="C63" s="75">
        <f>Inputs!$D$31*((1-Inputs!$D$34)^(1/12))^C$2+C62</f>
        <v>1.946554122</v>
      </c>
      <c r="D63" s="75">
        <f>Inputs!$D$31*((1-Inputs!$D$34)^(1/12))^D$2+D62</f>
        <v>1.920369179</v>
      </c>
      <c r="E63" s="75">
        <f>Inputs!$D$31*((1-Inputs!$D$34)^(1/12))^E$2+E62</f>
        <v>1.894536474</v>
      </c>
      <c r="F63" s="75">
        <f>Inputs!$D$31*((1-Inputs!$D$34)^(1/12))^F$2+F62</f>
        <v>1.86905127</v>
      </c>
      <c r="G63" s="75">
        <f>Inputs!$D$31*((1-Inputs!$D$34)^(1/12))^G$2+G62</f>
        <v>1.843908891</v>
      </c>
      <c r="H63" s="75">
        <f>Inputs!$D$31*((1-Inputs!$D$34)^(1/12))^H$2+H62</f>
        <v>1.819104727</v>
      </c>
      <c r="I63" s="75">
        <f>Inputs!$D$31*((1-Inputs!$D$34)^(1/12))^I$2+I62</f>
        <v>2.249410408</v>
      </c>
      <c r="J63" s="75">
        <f>Inputs!$D$31*((1-Inputs!$D$34)^(1/12))^J$2+J62</f>
        <v>2.667810015</v>
      </c>
      <c r="K63" s="75">
        <f>Inputs!$D$31*((1-Inputs!$D$34)^(1/12))^K$2+K62</f>
        <v>3.074546002</v>
      </c>
      <c r="L63" s="75">
        <f>Inputs!$D$31*((1-Inputs!$D$34)^(1/12))^L$2+L62</f>
        <v>3.469856453</v>
      </c>
      <c r="M63" s="75">
        <f>Inputs!$D$31*((1-Inputs!$D$34)^(1/12))^M$2+M62</f>
        <v>3.423180128</v>
      </c>
      <c r="N63" s="75">
        <f>Inputs!$D$31*((1-Inputs!$D$34)^(1/12))^N$2+N62</f>
        <v>3.37713169</v>
      </c>
      <c r="O63" s="75">
        <f>Inputs!$D$31*((1-Inputs!$D$34)^(1/12))^O$2+O62</f>
        <v>3.331702694</v>
      </c>
      <c r="P63" s="75">
        <f>Inputs!$D$31*((1-Inputs!$D$34)^(1/12))^P$2+P62</f>
        <v>3.286884805</v>
      </c>
      <c r="Q63" s="75">
        <f>Inputs!$D$31*((1-Inputs!$D$34)^(1/12))^Q$2+Q62</f>
        <v>3.242669805</v>
      </c>
      <c r="R63" s="75">
        <f>Inputs!$D$31*((1-Inputs!$D$34)^(1/12))^R$2+R62</f>
        <v>3.199049583</v>
      </c>
      <c r="S63" s="75">
        <f>Inputs!$D$31*((1-Inputs!$D$34)^(1/12))^S$2+S62</f>
        <v>3.156016137</v>
      </c>
      <c r="T63" s="75">
        <f>Inputs!$D$31*((1-Inputs!$D$34)^(1/12))^T$2+T62</f>
        <v>3.113561575</v>
      </c>
      <c r="U63" s="75">
        <f>Inputs!$D$31*((1-Inputs!$D$34)^(1/12))^U$2+U62</f>
        <v>3.07167811</v>
      </c>
      <c r="V63" s="75">
        <f>Inputs!$D$31*((1-Inputs!$D$34)^(1/12))^V$2+V62</f>
        <v>3.030358059</v>
      </c>
      <c r="W63" s="75">
        <f>Inputs!$D$31*((1-Inputs!$D$34)^(1/12))^W$2+W62</f>
        <v>2.989593843</v>
      </c>
      <c r="X63" s="75">
        <f>Inputs!$D$31*((1-Inputs!$D$34)^(1/12))^X$2+X62</f>
        <v>2.949377985</v>
      </c>
      <c r="Y63" s="75">
        <f>Inputs!$D$31*((1-Inputs!$D$34)^(1/12))^Y$2+Y62</f>
        <v>2.909703109</v>
      </c>
      <c r="Z63" s="76">
        <f>M63</f>
        <v>3.423180128</v>
      </c>
      <c r="AA63" s="76">
        <f>Y63</f>
        <v>2.909703109</v>
      </c>
    </row>
    <row r="64" hidden="1" outlineLevel="1">
      <c r="A64" s="6" t="s">
        <v>351</v>
      </c>
      <c r="B64" s="70">
        <f>'Rep capacity'!$D$13</f>
        <v>100000</v>
      </c>
      <c r="C64" s="70">
        <f>'Rep capacity'!$D$13</f>
        <v>100000</v>
      </c>
      <c r="D64" s="70">
        <f>'Rep capacity'!$D$13</f>
        <v>100000</v>
      </c>
      <c r="E64" s="70">
        <f>'Rep capacity'!$D$13</f>
        <v>100000</v>
      </c>
      <c r="F64" s="70">
        <f>'Rep capacity'!$D$13</f>
        <v>100000</v>
      </c>
      <c r="G64" s="70">
        <f>'Rep capacity'!$D$13</f>
        <v>100000</v>
      </c>
      <c r="H64" s="70">
        <f>'Rep capacity'!$D$13</f>
        <v>100000</v>
      </c>
      <c r="I64" s="70">
        <f>'Rep capacity'!$D$13</f>
        <v>100000</v>
      </c>
      <c r="J64" s="70">
        <f>'Rep capacity'!$D$13</f>
        <v>100000</v>
      </c>
      <c r="K64" s="70">
        <f>'Rep capacity'!$D$13</f>
        <v>100000</v>
      </c>
      <c r="L64" s="70">
        <f>'Rep capacity'!$D$13</f>
        <v>100000</v>
      </c>
      <c r="M64" s="70">
        <f>'Rep capacity'!$D$13</f>
        <v>100000</v>
      </c>
      <c r="N64" s="70">
        <f>'Rep capacity'!$D$13</f>
        <v>100000</v>
      </c>
      <c r="O64" s="70">
        <f>'Rep capacity'!$D$13</f>
        <v>100000</v>
      </c>
      <c r="P64" s="70">
        <f>'Rep capacity'!$D$13</f>
        <v>100000</v>
      </c>
      <c r="Q64" s="70">
        <f>'Rep capacity'!$D$13</f>
        <v>100000</v>
      </c>
      <c r="R64" s="70">
        <f>'Rep capacity'!$D$13</f>
        <v>100000</v>
      </c>
      <c r="S64" s="70">
        <f>'Rep capacity'!$D$13</f>
        <v>100000</v>
      </c>
      <c r="T64" s="70">
        <f>'Rep capacity'!$D$13</f>
        <v>100000</v>
      </c>
      <c r="U64" s="70">
        <f>'Rep capacity'!$D$13</f>
        <v>100000</v>
      </c>
      <c r="V64" s="70">
        <f>'Rep capacity'!$D$13</f>
        <v>100000</v>
      </c>
      <c r="W64" s="70">
        <f>'Rep capacity'!$D$13</f>
        <v>100000</v>
      </c>
      <c r="X64" s="70">
        <f>'Rep capacity'!$D$13</f>
        <v>100000</v>
      </c>
      <c r="Y64" s="70">
        <f>'Rep capacity'!$D$13</f>
        <v>100000</v>
      </c>
      <c r="Z64" s="71"/>
      <c r="AA64" s="71"/>
    </row>
    <row r="65" hidden="1" outlineLevel="1">
      <c r="A65" s="12" t="s">
        <v>352</v>
      </c>
      <c r="B65" s="71">
        <f>B63*B64*Inputs!$D$28</f>
        <v>147982.2079</v>
      </c>
      <c r="C65" s="71">
        <f>C63*C64*Inputs!$D$28</f>
        <v>145991.5591</v>
      </c>
      <c r="D65" s="71">
        <f>D63*D64*Inputs!$D$28</f>
        <v>144027.6884</v>
      </c>
      <c r="E65" s="71">
        <f>E63*E64*Inputs!$D$28</f>
        <v>142090.2356</v>
      </c>
      <c r="F65" s="71">
        <f>F63*F64*Inputs!$D$28</f>
        <v>140178.8453</v>
      </c>
      <c r="G65" s="71">
        <f>G63*G64*Inputs!$D$28</f>
        <v>138293.1669</v>
      </c>
      <c r="H65" s="71">
        <f>H63*H64*Inputs!$D$28</f>
        <v>136432.8545</v>
      </c>
      <c r="I65" s="71">
        <f>I63*I64*Inputs!$D$28</f>
        <v>168705.7806</v>
      </c>
      <c r="J65" s="71">
        <f>J63*J64*Inputs!$D$28</f>
        <v>200085.7511</v>
      </c>
      <c r="K65" s="71">
        <f>K63*K64*Inputs!$D$28</f>
        <v>230590.9501</v>
      </c>
      <c r="L65" s="71">
        <f>L63*L64*Inputs!$D$28</f>
        <v>260239.234</v>
      </c>
      <c r="M65" s="71">
        <f>M63*M64*Inputs!$D$28</f>
        <v>256738.5096</v>
      </c>
      <c r="N65" s="71">
        <f>N63*N64*Inputs!$D$28</f>
        <v>253284.8768</v>
      </c>
      <c r="O65" s="71">
        <f>O63*O64*Inputs!$D$28</f>
        <v>249877.702</v>
      </c>
      <c r="P65" s="71">
        <f>P63*P64*Inputs!$D$28</f>
        <v>246516.3604</v>
      </c>
      <c r="Q65" s="71">
        <f>Q63*Q64*Inputs!$D$28</f>
        <v>243200.2354</v>
      </c>
      <c r="R65" s="71">
        <f>R63*R64*Inputs!$D$28</f>
        <v>239928.7187</v>
      </c>
      <c r="S65" s="71">
        <f>S63*S64*Inputs!$D$28</f>
        <v>236701.2103</v>
      </c>
      <c r="T65" s="71">
        <f>T63*T64*Inputs!$D$28</f>
        <v>233517.1182</v>
      </c>
      <c r="U65" s="71">
        <f>U63*U64*Inputs!$D$28</f>
        <v>230375.8583</v>
      </c>
      <c r="V65" s="71">
        <f>V63*V64*Inputs!$D$28</f>
        <v>227276.8544</v>
      </c>
      <c r="W65" s="71">
        <f>W63*W64*Inputs!$D$28</f>
        <v>224219.5382</v>
      </c>
      <c r="X65" s="71">
        <f>X63*X64*Inputs!$D$28</f>
        <v>221203.3489</v>
      </c>
      <c r="Y65" s="71">
        <f>Y63*Y64*Inputs!$D$28</f>
        <v>218227.7331</v>
      </c>
      <c r="Z65" s="71">
        <f t="shared" ref="Z65:Z66" si="19">SUM(B65:M65)</f>
        <v>2111356.783</v>
      </c>
      <c r="AA65" s="71">
        <f t="shared" ref="AA65:AA66" si="20">SUM(N65:Y65)</f>
        <v>2824329.555</v>
      </c>
    </row>
    <row r="66" hidden="1" outlineLevel="1">
      <c r="A66" s="38" t="s">
        <v>353</v>
      </c>
      <c r="B66" s="77">
        <f>SUMPRODUCT($B57:B57,((((B$2-$B$2:B$2)-Inputs!$D$30)&lt;Inputs!$D$32)*(Inputs!$D$33&gt;((((B$2-$B$2:B$2)-Inputs!$D$30)&gt;0)*((B$2-$B$2:B$2)-Inputs!$D$30)/MAX(Inputs!$D$32,1)))*(Inputs!$D$33-((((B$2-$B$2:B$2)-Inputs!$D$30)&gt;0)*((B$2-$B$2:B$2)-Inputs!$D$30)/MAX(Inputs!$D$32,1)))),((1-Inputs!$D$34)^(1/12))^(B$2-$B$2:B$2))*B64*Inputs!$D$28</f>
        <v>0</v>
      </c>
      <c r="C66" s="77">
        <f>SUMPRODUCT($B57:C57,((((C$2-$B$2:C$2)-Inputs!$D$30)&lt;Inputs!$D$32)*(Inputs!$D$33&gt;((((C$2-$B$2:C$2)-Inputs!$D$30)&gt;0)*((C$2-$B$2:C$2)-Inputs!$D$30)/MAX(Inputs!$D$32,1)))*(Inputs!$D$33-((((C$2-$B$2:C$2)-Inputs!$D$30)&gt;0)*((C$2-$B$2:C$2)-Inputs!$D$30)/MAX(Inputs!$D$32,1)))),((1-Inputs!$D$34)^(1/12))^(C$2-$B$2:C$2))*C64*Inputs!$D$28</f>
        <v>0</v>
      </c>
      <c r="D66" s="77">
        <f>SUMPRODUCT($B57:D57,((((D$2-$B$2:D$2)-Inputs!$D$30)&lt;Inputs!$D$32)*(Inputs!$D$33&gt;((((D$2-$B$2:D$2)-Inputs!$D$30)&gt;0)*((D$2-$B$2:D$2)-Inputs!$D$30)/MAX(Inputs!$D$32,1)))*(Inputs!$D$33-((((D$2-$B$2:D$2)-Inputs!$D$30)&gt;0)*((D$2-$B$2:D$2)-Inputs!$D$30)/MAX(Inputs!$D$32,1)))),((1-Inputs!$D$34)^(1/12))^(D$2-$B$2:D$2))*D64*Inputs!$D$28</f>
        <v>0</v>
      </c>
      <c r="E66" s="77">
        <f>SUMPRODUCT($B57:E57,((((E$2-$B$2:E$2)-Inputs!$D$30)&lt;Inputs!$D$32)*(Inputs!$D$33&gt;((((E$2-$B$2:E$2)-Inputs!$D$30)&gt;0)*((E$2-$B$2:E$2)-Inputs!$D$30)/MAX(Inputs!$D$32,1)))*(Inputs!$D$33-((((E$2-$B$2:E$2)-Inputs!$D$30)&gt;0)*((E$2-$B$2:E$2)-Inputs!$D$30)/MAX(Inputs!$D$32,1)))),((1-Inputs!$D$34)^(1/12))^(E$2-$B$2:E$2))*E64*Inputs!$D$28</f>
        <v>0</v>
      </c>
      <c r="F66" s="77">
        <f>SUMPRODUCT($B57:F57,((((F$2-$B$2:F$2)-Inputs!$D$30)&lt;Inputs!$D$32)*(Inputs!$D$33&gt;((((F$2-$B$2:F$2)-Inputs!$D$30)&gt;0)*((F$2-$B$2:F$2)-Inputs!$D$30)/MAX(Inputs!$D$32,1)))*(Inputs!$D$33-((((F$2-$B$2:F$2)-Inputs!$D$30)&gt;0)*((F$2-$B$2:F$2)-Inputs!$D$30)/MAX(Inputs!$D$32,1)))),((1-Inputs!$D$34)^(1/12))^(F$2-$B$2:F$2))*F64*Inputs!$D$28</f>
        <v>0</v>
      </c>
      <c r="G66" s="77">
        <f>SUMPRODUCT($B57:G57,((((G$2-$B$2:G$2)-Inputs!$D$30)&lt;Inputs!$D$32)*(Inputs!$D$33&gt;((((G$2-$B$2:G$2)-Inputs!$D$30)&gt;0)*((G$2-$B$2:G$2)-Inputs!$D$30)/MAX(Inputs!$D$32,1)))*(Inputs!$D$33-((((G$2-$B$2:G$2)-Inputs!$D$30)&gt;0)*((G$2-$B$2:G$2)-Inputs!$D$30)/MAX(Inputs!$D$32,1)))),((1-Inputs!$D$34)^(1/12))^(G$2-$B$2:G$2))*G64*Inputs!$D$28</f>
        <v>0</v>
      </c>
      <c r="H66" s="77">
        <f>SUMPRODUCT($B57:H57,((((H$2-$B$2:H$2)-Inputs!$D$30)&lt;Inputs!$D$32)*(Inputs!$D$33&gt;((((H$2-$B$2:H$2)-Inputs!$D$30)&gt;0)*((H$2-$B$2:H$2)-Inputs!$D$30)/MAX(Inputs!$D$32,1)))*(Inputs!$D$33-((((H$2-$B$2:H$2)-Inputs!$D$30)&gt;0)*((H$2-$B$2:H$2)-Inputs!$D$30)/MAX(Inputs!$D$32,1)))),((1-Inputs!$D$34)^(1/12))^(H$2-$B$2:H$2))*H64*Inputs!$D$28</f>
        <v>0</v>
      </c>
      <c r="I66" s="77">
        <f>SUMPRODUCT($B57:I57,((((I$2-$B$2:I$2)-Inputs!$D$30)&lt;Inputs!$D$32)*(Inputs!$D$33&gt;((((I$2-$B$2:I$2)-Inputs!$D$30)&gt;0)*((I$2-$B$2:I$2)-Inputs!$D$30)/MAX(Inputs!$D$32,1)))*(Inputs!$D$33-((((I$2-$B$2:I$2)-Inputs!$D$30)&gt;0)*((I$2-$B$2:I$2)-Inputs!$D$30)/MAX(Inputs!$D$32,1)))),((1-Inputs!$D$34)^(1/12))^(I$2-$B$2:I$2))*I64*Inputs!$D$28</f>
        <v>0</v>
      </c>
      <c r="J66" s="77">
        <f>SUMPRODUCT($B57:J57,((((J$2-$B$2:J$2)-Inputs!$D$30)&lt;Inputs!$D$32)*(Inputs!$D$33&gt;((((J$2-$B$2:J$2)-Inputs!$D$30)&gt;0)*((J$2-$B$2:J$2)-Inputs!$D$30)/MAX(Inputs!$D$32,1)))*(Inputs!$D$33-((((J$2-$B$2:J$2)-Inputs!$D$30)&gt;0)*((J$2-$B$2:J$2)-Inputs!$D$30)/MAX(Inputs!$D$32,1)))),((1-Inputs!$D$34)^(1/12))^(J$2-$B$2:J$2))*J64*Inputs!$D$28</f>
        <v>0</v>
      </c>
      <c r="K66" s="77">
        <f>SUMPRODUCT($B57:K57,((((K$2-$B$2:K$2)-Inputs!$D$30)&lt;Inputs!$D$32)*(Inputs!$D$33&gt;((((K$2-$B$2:K$2)-Inputs!$D$30)&gt;0)*((K$2-$B$2:K$2)-Inputs!$D$30)/MAX(Inputs!$D$32,1)))*(Inputs!$D$33-((((K$2-$B$2:K$2)-Inputs!$D$30)&gt;0)*((K$2-$B$2:K$2)-Inputs!$D$30)/MAX(Inputs!$D$32,1)))),((1-Inputs!$D$34)^(1/12))^(K$2-$B$2:K$2))*K64*Inputs!$D$28</f>
        <v>0</v>
      </c>
      <c r="L66" s="77">
        <f>SUMPRODUCT($B57:L57,((((L$2-$B$2:L$2)-Inputs!$D$30)&lt;Inputs!$D$32)*(Inputs!$D$33&gt;((((L$2-$B$2:L$2)-Inputs!$D$30)&gt;0)*((L$2-$B$2:L$2)-Inputs!$D$30)/MAX(Inputs!$D$32,1)))*(Inputs!$D$33-((((L$2-$B$2:L$2)-Inputs!$D$30)&gt;0)*((L$2-$B$2:L$2)-Inputs!$D$30)/MAX(Inputs!$D$32,1)))),((1-Inputs!$D$34)^(1/12))^(L$2-$B$2:L$2))*L64*Inputs!$D$28</f>
        <v>0</v>
      </c>
      <c r="M66" s="77">
        <f>SUMPRODUCT($B57:M57,((((M$2-$B$2:M$2)-Inputs!$D$30)&lt;Inputs!$D$32)*(Inputs!$D$33&gt;((((M$2-$B$2:M$2)-Inputs!$D$30)&gt;0)*((M$2-$B$2:M$2)-Inputs!$D$30)/MAX(Inputs!$D$32,1)))*(Inputs!$D$33-((((M$2-$B$2:M$2)-Inputs!$D$30)&gt;0)*((M$2-$B$2:M$2)-Inputs!$D$30)/MAX(Inputs!$D$32,1)))),((1-Inputs!$D$34)^(1/12))^(M$2-$B$2:M$2))*M64*Inputs!$D$28</f>
        <v>0</v>
      </c>
      <c r="N66" s="77">
        <f>SUMPRODUCT($B57:N57,((((N$2-$B$2:N$2)-Inputs!$D$30)&lt;Inputs!$D$32)*(Inputs!$D$33&gt;((((N$2-$B$2:N$2)-Inputs!$D$30)&gt;0)*((N$2-$B$2:N$2)-Inputs!$D$30)/MAX(Inputs!$D$32,1)))*(Inputs!$D$33-((((N$2-$B$2:N$2)-Inputs!$D$30)&gt;0)*((N$2-$B$2:N$2)-Inputs!$D$30)/MAX(Inputs!$D$32,1)))),((1-Inputs!$D$34)^(1/12))^(N$2-$B$2:N$2))*N64*Inputs!$D$28</f>
        <v>0</v>
      </c>
      <c r="O66" s="77">
        <f>SUMPRODUCT($B57:O57,((((O$2-$B$2:O$2)-Inputs!$D$30)&lt;Inputs!$D$32)*(Inputs!$D$33&gt;((((O$2-$B$2:O$2)-Inputs!$D$30)&gt;0)*((O$2-$B$2:O$2)-Inputs!$D$30)/MAX(Inputs!$D$32,1)))*(Inputs!$D$33-((((O$2-$B$2:O$2)-Inputs!$D$30)&gt;0)*((O$2-$B$2:O$2)-Inputs!$D$30)/MAX(Inputs!$D$32,1)))),((1-Inputs!$D$34)^(1/12))^(O$2-$B$2:O$2))*O64*Inputs!$D$28</f>
        <v>0</v>
      </c>
      <c r="P66" s="77">
        <f>SUMPRODUCT($B57:P57,((((P$2-$B$2:P$2)-Inputs!$D$30)&lt;Inputs!$D$32)*(Inputs!$D$33&gt;((((P$2-$B$2:P$2)-Inputs!$D$30)&gt;0)*((P$2-$B$2:P$2)-Inputs!$D$30)/MAX(Inputs!$D$32,1)))*(Inputs!$D$33-((((P$2-$B$2:P$2)-Inputs!$D$30)&gt;0)*((P$2-$B$2:P$2)-Inputs!$D$30)/MAX(Inputs!$D$32,1)))),((1-Inputs!$D$34)^(1/12))^(P$2-$B$2:P$2))*P64*Inputs!$D$28</f>
        <v>0</v>
      </c>
      <c r="Q66" s="77">
        <f>SUMPRODUCT($B57:Q57,((((Q$2-$B$2:Q$2)-Inputs!$D$30)&lt;Inputs!$D$32)*(Inputs!$D$33&gt;((((Q$2-$B$2:Q$2)-Inputs!$D$30)&gt;0)*((Q$2-$B$2:Q$2)-Inputs!$D$30)/MAX(Inputs!$D$32,1)))*(Inputs!$D$33-((((Q$2-$B$2:Q$2)-Inputs!$D$30)&gt;0)*((Q$2-$B$2:Q$2)-Inputs!$D$30)/MAX(Inputs!$D$32,1)))),((1-Inputs!$D$34)^(1/12))^(Q$2-$B$2:Q$2))*Q64*Inputs!$D$28</f>
        <v>0</v>
      </c>
      <c r="R66" s="77">
        <f>SUMPRODUCT($B57:R57,((((R$2-$B$2:R$2)-Inputs!$D$30)&lt;Inputs!$D$32)*(Inputs!$D$33&gt;((((R$2-$B$2:R$2)-Inputs!$D$30)&gt;0)*((R$2-$B$2:R$2)-Inputs!$D$30)/MAX(Inputs!$D$32,1)))*(Inputs!$D$33-((((R$2-$B$2:R$2)-Inputs!$D$30)&gt;0)*((R$2-$B$2:R$2)-Inputs!$D$30)/MAX(Inputs!$D$32,1)))),((1-Inputs!$D$34)^(1/12))^(R$2-$B$2:R$2))*R64*Inputs!$D$28</f>
        <v>0</v>
      </c>
      <c r="S66" s="77">
        <f>SUMPRODUCT($B57:S57,((((S$2-$B$2:S$2)-Inputs!$D$30)&lt;Inputs!$D$32)*(Inputs!$D$33&gt;((((S$2-$B$2:S$2)-Inputs!$D$30)&gt;0)*((S$2-$B$2:S$2)-Inputs!$D$30)/MAX(Inputs!$D$32,1)))*(Inputs!$D$33-((((S$2-$B$2:S$2)-Inputs!$D$30)&gt;0)*((S$2-$B$2:S$2)-Inputs!$D$30)/MAX(Inputs!$D$32,1)))),((1-Inputs!$D$34)^(1/12))^(S$2-$B$2:S$2))*S64*Inputs!$D$28</f>
        <v>0</v>
      </c>
      <c r="T66" s="77">
        <f>SUMPRODUCT($B57:T57,((((T$2-$B$2:T$2)-Inputs!$D$30)&lt;Inputs!$D$32)*(Inputs!$D$33&gt;((((T$2-$B$2:T$2)-Inputs!$D$30)&gt;0)*((T$2-$B$2:T$2)-Inputs!$D$30)/MAX(Inputs!$D$32,1)))*(Inputs!$D$33-((((T$2-$B$2:T$2)-Inputs!$D$30)&gt;0)*((T$2-$B$2:T$2)-Inputs!$D$30)/MAX(Inputs!$D$32,1)))),((1-Inputs!$D$34)^(1/12))^(T$2-$B$2:T$2))*T64*Inputs!$D$28</f>
        <v>0</v>
      </c>
      <c r="U66" s="77">
        <f>SUMPRODUCT($B57:U57,((((U$2-$B$2:U$2)-Inputs!$D$30)&lt;Inputs!$D$32)*(Inputs!$D$33&gt;((((U$2-$B$2:U$2)-Inputs!$D$30)&gt;0)*((U$2-$B$2:U$2)-Inputs!$D$30)/MAX(Inputs!$D$32,1)))*(Inputs!$D$33-((((U$2-$B$2:U$2)-Inputs!$D$30)&gt;0)*((U$2-$B$2:U$2)-Inputs!$D$30)/MAX(Inputs!$D$32,1)))),((1-Inputs!$D$34)^(1/12))^(U$2-$B$2:U$2))*U64*Inputs!$D$28</f>
        <v>0</v>
      </c>
      <c r="V66" s="77">
        <f>SUMPRODUCT($B57:V57,((((V$2-$B$2:V$2)-Inputs!$D$30)&lt;Inputs!$D$32)*(Inputs!$D$33&gt;((((V$2-$B$2:V$2)-Inputs!$D$30)&gt;0)*((V$2-$B$2:V$2)-Inputs!$D$30)/MAX(Inputs!$D$32,1)))*(Inputs!$D$33-((((V$2-$B$2:V$2)-Inputs!$D$30)&gt;0)*((V$2-$B$2:V$2)-Inputs!$D$30)/MAX(Inputs!$D$32,1)))),((1-Inputs!$D$34)^(1/12))^(V$2-$B$2:V$2))*V64*Inputs!$D$28</f>
        <v>0</v>
      </c>
      <c r="W66" s="77">
        <f>SUMPRODUCT($B57:W57,((((W$2-$B$2:W$2)-Inputs!$D$30)&lt;Inputs!$D$32)*(Inputs!$D$33&gt;((((W$2-$B$2:W$2)-Inputs!$D$30)&gt;0)*((W$2-$B$2:W$2)-Inputs!$D$30)/MAX(Inputs!$D$32,1)))*(Inputs!$D$33-((((W$2-$B$2:W$2)-Inputs!$D$30)&gt;0)*((W$2-$B$2:W$2)-Inputs!$D$30)/MAX(Inputs!$D$32,1)))),((1-Inputs!$D$34)^(1/12))^(W$2-$B$2:W$2))*W64*Inputs!$D$28</f>
        <v>0</v>
      </c>
      <c r="X66" s="77">
        <f>SUMPRODUCT($B57:X57,((((X$2-$B$2:X$2)-Inputs!$D$30)&lt;Inputs!$D$32)*(Inputs!$D$33&gt;((((X$2-$B$2:X$2)-Inputs!$D$30)&gt;0)*((X$2-$B$2:X$2)-Inputs!$D$30)/MAX(Inputs!$D$32,1)))*(Inputs!$D$33-((((X$2-$B$2:X$2)-Inputs!$D$30)&gt;0)*((X$2-$B$2:X$2)-Inputs!$D$30)/MAX(Inputs!$D$32,1)))),((1-Inputs!$D$34)^(1/12))^(X$2-$B$2:X$2))*X64*Inputs!$D$28</f>
        <v>0</v>
      </c>
      <c r="Y66" s="77">
        <f>SUMPRODUCT($B57:Y57,((((Y$2-$B$2:Y$2)-Inputs!$D$30)&lt;Inputs!$D$32)*(Inputs!$D$33&gt;((((Y$2-$B$2:Y$2)-Inputs!$D$30)&gt;0)*((Y$2-$B$2:Y$2)-Inputs!$D$30)/MAX(Inputs!$D$32,1)))*(Inputs!$D$33-((((Y$2-$B$2:Y$2)-Inputs!$D$30)&gt;0)*((Y$2-$B$2:Y$2)-Inputs!$D$30)/MAX(Inputs!$D$32,1)))),((1-Inputs!$D$34)^(1/12))^(Y$2-$B$2:Y$2))*Y64*Inputs!$D$28</f>
        <v>0</v>
      </c>
      <c r="Z66" s="78">
        <f t="shared" si="19"/>
        <v>0</v>
      </c>
      <c r="AA66" s="78">
        <f t="shared" si="20"/>
        <v>0</v>
      </c>
    </row>
    <row r="67" hidden="1" outlineLevel="1">
      <c r="A67" s="79" t="s">
        <v>354</v>
      </c>
      <c r="B67" s="80"/>
      <c r="C67" s="80"/>
      <c r="D67" s="80"/>
      <c r="E67" s="80"/>
      <c r="F67" s="80"/>
      <c r="G67" s="80"/>
      <c r="H67" s="80"/>
      <c r="I67" s="80"/>
      <c r="J67" s="80"/>
      <c r="K67" s="80"/>
      <c r="L67" s="80"/>
      <c r="M67" s="80"/>
      <c r="N67" s="80"/>
      <c r="O67" s="80"/>
      <c r="P67" s="80"/>
      <c r="Q67" s="80"/>
      <c r="R67" s="80"/>
      <c r="S67" s="80"/>
      <c r="T67" s="80"/>
      <c r="U67" s="80"/>
      <c r="V67" s="80"/>
      <c r="W67" s="80"/>
      <c r="X67" s="80"/>
      <c r="Y67" s="80"/>
      <c r="Z67" s="80"/>
      <c r="AA67" s="80"/>
    </row>
    <row r="68" hidden="1" outlineLevel="1">
      <c r="A68" s="6" t="s">
        <v>355</v>
      </c>
      <c r="B68" s="73">
        <f>Inputs!J$69</f>
        <v>2</v>
      </c>
      <c r="C68" s="73">
        <f>Inputs!K$69</f>
        <v>0</v>
      </c>
      <c r="D68" s="73">
        <f>Inputs!L$69</f>
        <v>0</v>
      </c>
      <c r="E68" s="73">
        <f>Inputs!M$69</f>
        <v>0</v>
      </c>
      <c r="F68" s="73">
        <f>Inputs!N$69</f>
        <v>0</v>
      </c>
      <c r="G68" s="73">
        <f>Inputs!O$69</f>
        <v>0</v>
      </c>
      <c r="H68" s="73">
        <f>Inputs!P$69</f>
        <v>0</v>
      </c>
      <c r="I68" s="73">
        <f>Inputs!Q$69</f>
        <v>0</v>
      </c>
      <c r="J68" s="73">
        <f>Inputs!R$69</f>
        <v>0</v>
      </c>
      <c r="K68" s="73">
        <f>Inputs!S$69</f>
        <v>0</v>
      </c>
      <c r="L68" s="73">
        <f>Inputs!T$69</f>
        <v>0</v>
      </c>
      <c r="M68" s="73">
        <f>Inputs!U$69</f>
        <v>0</v>
      </c>
      <c r="N68" s="73">
        <f>Inputs!V$69</f>
        <v>0</v>
      </c>
      <c r="O68" s="73">
        <f>Inputs!W$69</f>
        <v>0</v>
      </c>
      <c r="P68" s="73">
        <f>Inputs!X$69</f>
        <v>0</v>
      </c>
      <c r="Q68" s="73">
        <f>Inputs!Y$69</f>
        <v>0</v>
      </c>
      <c r="R68" s="73">
        <f>Inputs!Z$69</f>
        <v>0</v>
      </c>
      <c r="S68" s="73">
        <f>Inputs!AA$69</f>
        <v>0</v>
      </c>
      <c r="T68" s="73">
        <f>Inputs!AB$69</f>
        <v>0</v>
      </c>
      <c r="U68" s="73">
        <f>Inputs!AC$69</f>
        <v>0</v>
      </c>
      <c r="V68" s="73">
        <f>Inputs!AD$69</f>
        <v>0</v>
      </c>
      <c r="W68" s="73">
        <f>Inputs!AE$69</f>
        <v>0</v>
      </c>
      <c r="X68" s="73">
        <f>Inputs!AF$69</f>
        <v>0</v>
      </c>
      <c r="Y68" s="73">
        <f>Inputs!AG$69</f>
        <v>0</v>
      </c>
      <c r="Z68" s="72">
        <f>SUM(B68:M68)</f>
        <v>2</v>
      </c>
      <c r="AA68" s="72">
        <f>SUM(N68:Y68)</f>
        <v>0</v>
      </c>
    </row>
    <row r="69" hidden="1" outlineLevel="1">
      <c r="A69" s="6" t="s">
        <v>345</v>
      </c>
      <c r="B69" s="75">
        <f>IF(B$2=1,Inputs!$D$31,A71)</f>
        <v>2</v>
      </c>
      <c r="C69" s="75">
        <f>IF(C$2=1,Inputs!$D$31,B71)</f>
        <v>3.973096106</v>
      </c>
      <c r="D69" s="75">
        <f>IF(D$2=1,Inputs!$D$31,C71)</f>
        <v>3.919650228</v>
      </c>
      <c r="E69" s="75">
        <f>IF(E$2=1,Inputs!$D$31,D71)</f>
        <v>3.866923301</v>
      </c>
      <c r="F69" s="75">
        <f>IF(F$2=1,Inputs!$D$31,E71)</f>
        <v>3.814905653</v>
      </c>
      <c r="G69" s="75">
        <f>IF(G$2=1,Inputs!$D$31,F71)</f>
        <v>3.763587744</v>
      </c>
      <c r="H69" s="75">
        <f>IF(H$2=1,Inputs!$D$31,G71)</f>
        <v>3.712960162</v>
      </c>
      <c r="I69" s="75">
        <f>IF(I$2=1,Inputs!$D$31,H71)</f>
        <v>3.663013618</v>
      </c>
      <c r="J69" s="75">
        <f>IF(J$2=1,Inputs!$D$31,I71)</f>
        <v>3.613738953</v>
      </c>
      <c r="K69" s="75">
        <f>IF(K$2=1,Inputs!$D$31,J71)</f>
        <v>3.565127128</v>
      </c>
      <c r="L69" s="75">
        <f>IF(L$2=1,Inputs!$D$31,K71)</f>
        <v>3.517169227</v>
      </c>
      <c r="M69" s="75">
        <f>IF(M$2=1,Inputs!$D$31,L71)</f>
        <v>3.469856453</v>
      </c>
      <c r="N69" s="75">
        <f>IF(N$2=1,Inputs!$D$31,M71)</f>
        <v>3.423180128</v>
      </c>
      <c r="O69" s="75">
        <f>IF(O$2=1,Inputs!$D$31,N71)</f>
        <v>3.37713169</v>
      </c>
      <c r="P69" s="75">
        <f>IF(P$2=1,Inputs!$D$31,O71)</f>
        <v>3.331702694</v>
      </c>
      <c r="Q69" s="75">
        <f>IF(Q$2=1,Inputs!$D$31,P71)</f>
        <v>3.286884805</v>
      </c>
      <c r="R69" s="75">
        <f>IF(R$2=1,Inputs!$D$31,Q71)</f>
        <v>3.242669805</v>
      </c>
      <c r="S69" s="75">
        <f>IF(S$2=1,Inputs!$D$31,R71)</f>
        <v>3.199049583</v>
      </c>
      <c r="T69" s="75">
        <f>IF(T$2=1,Inputs!$D$31,S71)</f>
        <v>3.156016137</v>
      </c>
      <c r="U69" s="75">
        <f>IF(U$2=1,Inputs!$D$31,T71)</f>
        <v>3.113561575</v>
      </c>
      <c r="V69" s="75">
        <f>IF(V$2=1,Inputs!$D$31,U71)</f>
        <v>3.07167811</v>
      </c>
      <c r="W69" s="75">
        <f>IF(W$2=1,Inputs!$D$31,V71)</f>
        <v>3.030358059</v>
      </c>
      <c r="X69" s="75">
        <f>IF(X$2=1,Inputs!$D$31,W71)</f>
        <v>2.989593843</v>
      </c>
      <c r="Y69" s="75">
        <f>IF(Y$2=1,Inputs!$D$31,X71)</f>
        <v>2.949377985</v>
      </c>
      <c r="Z69" s="76"/>
      <c r="AA69" s="76"/>
    </row>
    <row r="70" hidden="1" outlineLevel="1">
      <c r="A70" s="6" t="s">
        <v>356</v>
      </c>
      <c r="B70" s="75">
        <f>B69*(1-((1-Inputs!$G$34)^(1/12)))</f>
        <v>0.02690389402</v>
      </c>
      <c r="C70" s="75">
        <f>C69*(1-((1-Inputs!$G$34)^(1/12)))</f>
        <v>0.05344587829</v>
      </c>
      <c r="D70" s="75">
        <f>D69*(1-((1-Inputs!$G$34)^(1/12)))</f>
        <v>0.05272692717</v>
      </c>
      <c r="E70" s="75">
        <f>E69*(1-((1-Inputs!$G$34)^(1/12)))</f>
        <v>0.05201764734</v>
      </c>
      <c r="F70" s="75">
        <f>F69*(1-((1-Inputs!$G$34)^(1/12)))</f>
        <v>0.0513179087</v>
      </c>
      <c r="G70" s="75">
        <f>G69*(1-((1-Inputs!$G$34)^(1/12)))</f>
        <v>0.05062758291</v>
      </c>
      <c r="H70" s="75">
        <f>H69*(1-((1-Inputs!$G$34)^(1/12)))</f>
        <v>0.04994654335</v>
      </c>
      <c r="I70" s="75">
        <f>I69*(1-((1-Inputs!$G$34)^(1/12)))</f>
        <v>0.0492746651</v>
      </c>
      <c r="J70" s="75">
        <f>J69*(1-((1-Inputs!$G$34)^(1/12)))</f>
        <v>0.04861182491</v>
      </c>
      <c r="K70" s="75">
        <f>K69*(1-((1-Inputs!$G$34)^(1/12)))</f>
        <v>0.04795790122</v>
      </c>
      <c r="L70" s="75">
        <f>L69*(1-((1-Inputs!$G$34)^(1/12)))</f>
        <v>0.04731277407</v>
      </c>
      <c r="M70" s="75">
        <f>M69*(1-((1-Inputs!$G$34)^(1/12)))</f>
        <v>0.04667632514</v>
      </c>
      <c r="N70" s="75">
        <f>N69*(1-((1-Inputs!$G$34)^(1/12)))</f>
        <v>0.04604843769</v>
      </c>
      <c r="O70" s="75">
        <f>O69*(1-((1-Inputs!$G$34)^(1/12)))</f>
        <v>0.04542899655</v>
      </c>
      <c r="P70" s="75">
        <f>P69*(1-((1-Inputs!$G$34)^(1/12)))</f>
        <v>0.04481788809</v>
      </c>
      <c r="Q70" s="75">
        <f>Q69*(1-((1-Inputs!$G$34)^(1/12)))</f>
        <v>0.04421500024</v>
      </c>
      <c r="R70" s="75">
        <f>R69*(1-((1-Inputs!$G$34)^(1/12)))</f>
        <v>0.0436202224</v>
      </c>
      <c r="S70" s="75">
        <f>S69*(1-((1-Inputs!$G$34)^(1/12)))</f>
        <v>0.04303344548</v>
      </c>
      <c r="T70" s="75">
        <f>T69*(1-((1-Inputs!$G$34)^(1/12)))</f>
        <v>0.04245456185</v>
      </c>
      <c r="U70" s="75">
        <f>U69*(1-((1-Inputs!$G$34)^(1/12)))</f>
        <v>0.04188346533</v>
      </c>
      <c r="V70" s="75">
        <f>V69*(1-((1-Inputs!$G$34)^(1/12)))</f>
        <v>0.04132005118</v>
      </c>
      <c r="W70" s="75">
        <f>W69*(1-((1-Inputs!$G$34)^(1/12)))</f>
        <v>0.04076421604</v>
      </c>
      <c r="X70" s="75">
        <f>X69*(1-((1-Inputs!$G$34)^(1/12)))</f>
        <v>0.04021585796</v>
      </c>
      <c r="Y70" s="75">
        <f>Y69*(1-((1-Inputs!$G$34)^(1/12)))</f>
        <v>0.03967487637</v>
      </c>
      <c r="Z70" s="76">
        <f>SUM(B70:M70)</f>
        <v>0.5768198722</v>
      </c>
      <c r="AA70" s="76">
        <f>SUM(N70:Y70)</f>
        <v>0.5134770192</v>
      </c>
    </row>
    <row r="71" hidden="1" outlineLevel="1">
      <c r="A71" s="6" t="s">
        <v>347</v>
      </c>
      <c r="B71" s="75">
        <f t="shared" ref="B71:Y71" si="21">B69+B68-B70</f>
        <v>3.973096106</v>
      </c>
      <c r="C71" s="75">
        <f t="shared" si="21"/>
        <v>3.919650228</v>
      </c>
      <c r="D71" s="75">
        <f t="shared" si="21"/>
        <v>3.866923301</v>
      </c>
      <c r="E71" s="75">
        <f t="shared" si="21"/>
        <v>3.814905653</v>
      </c>
      <c r="F71" s="75">
        <f t="shared" si="21"/>
        <v>3.763587744</v>
      </c>
      <c r="G71" s="75">
        <f t="shared" si="21"/>
        <v>3.712960162</v>
      </c>
      <c r="H71" s="75">
        <f t="shared" si="21"/>
        <v>3.663013618</v>
      </c>
      <c r="I71" s="75">
        <f t="shared" si="21"/>
        <v>3.613738953</v>
      </c>
      <c r="J71" s="75">
        <f t="shared" si="21"/>
        <v>3.565127128</v>
      </c>
      <c r="K71" s="75">
        <f t="shared" si="21"/>
        <v>3.517169227</v>
      </c>
      <c r="L71" s="75">
        <f t="shared" si="21"/>
        <v>3.469856453</v>
      </c>
      <c r="M71" s="75">
        <f t="shared" si="21"/>
        <v>3.423180128</v>
      </c>
      <c r="N71" s="75">
        <f t="shared" si="21"/>
        <v>3.37713169</v>
      </c>
      <c r="O71" s="75">
        <f t="shared" si="21"/>
        <v>3.331702694</v>
      </c>
      <c r="P71" s="75">
        <f t="shared" si="21"/>
        <v>3.286884805</v>
      </c>
      <c r="Q71" s="75">
        <f t="shared" si="21"/>
        <v>3.242669805</v>
      </c>
      <c r="R71" s="75">
        <f t="shared" si="21"/>
        <v>3.199049583</v>
      </c>
      <c r="S71" s="75">
        <f t="shared" si="21"/>
        <v>3.156016137</v>
      </c>
      <c r="T71" s="75">
        <f t="shared" si="21"/>
        <v>3.113561575</v>
      </c>
      <c r="U71" s="75">
        <f t="shared" si="21"/>
        <v>3.07167811</v>
      </c>
      <c r="V71" s="75">
        <f t="shared" si="21"/>
        <v>3.030358059</v>
      </c>
      <c r="W71" s="75">
        <f t="shared" si="21"/>
        <v>2.989593843</v>
      </c>
      <c r="X71" s="75">
        <f t="shared" si="21"/>
        <v>2.949377985</v>
      </c>
      <c r="Y71" s="75">
        <f t="shared" si="21"/>
        <v>2.909703109</v>
      </c>
      <c r="Z71" s="76">
        <f>M71</f>
        <v>3.423180128</v>
      </c>
      <c r="AA71" s="76">
        <f>Y71</f>
        <v>2.909703109</v>
      </c>
    </row>
    <row r="72" hidden="1" outlineLevel="1">
      <c r="A72" s="6" t="s">
        <v>357</v>
      </c>
      <c r="B72" s="75">
        <f>SUMPRODUCT($B68:B68,(((B$2-$B$2:B$2)&gt;=Inputs!$G$32)+((B$2-$B$2:B$2)&lt;Inputs!$G$32)*(B$2-$B$2:B$2)/MAX(Inputs!$G$32,1)),((1-Inputs!$G$34)^(1/12))^(B$2-$B$2:B$2))</f>
        <v>0</v>
      </c>
      <c r="C72" s="75">
        <f>SUMPRODUCT($B68:C68,(((C$2-$B$2:C$2)&gt;=Inputs!$G$32)+((C$2-$B$2:C$2)&lt;Inputs!$G$32)*(C$2-$B$2:C$2)/MAX(Inputs!$G$32,1)),((1-Inputs!$G$34)^(1/12))^(C$2-$B$2:C$2))</f>
        <v>0.4932740265</v>
      </c>
      <c r="D72" s="75">
        <f>SUMPRODUCT($B68:D68,(((D$2-$B$2:D$2)&gt;=Inputs!$G$32)+((D$2-$B$2:D$2)&lt;Inputs!$G$32)*(D$2-$B$2:D$2)/MAX(Inputs!$G$32,1)),((1-Inputs!$G$34)^(1/12))^(D$2-$B$2:D$2))</f>
        <v>0.9732770609</v>
      </c>
      <c r="E72" s="75">
        <f>SUMPRODUCT($B68:E68,(((E$2-$B$2:E$2)&gt;=Inputs!$G$32)+((E$2-$B$2:E$2)&lt;Inputs!$G$32)*(E$2-$B$2:E$2)/MAX(Inputs!$G$32,1)),((1-Inputs!$G$34)^(1/12))^(E$2-$B$2:E$2))</f>
        <v>1.440276884</v>
      </c>
      <c r="F72" s="75">
        <f>SUMPRODUCT($B68:F68,(((F$2-$B$2:F$2)&gt;=Inputs!$G$32)+((F$2-$B$2:F$2)&lt;Inputs!$G$32)*(F$2-$B$2:F$2)/MAX(Inputs!$G$32,1)),((1-Inputs!$G$34)^(1/12))^(F$2-$B$2:F$2))</f>
        <v>1.894536474</v>
      </c>
      <c r="G72" s="75">
        <f>SUMPRODUCT($B68:G68,(((G$2-$B$2:G$2)&gt;=Inputs!$G$32)+((G$2-$B$2:G$2)&lt;Inputs!$G$32)*(G$2-$B$2:G$2)/MAX(Inputs!$G$32,1)),((1-Inputs!$G$34)^(1/12))^(G$2-$B$2:G$2))</f>
        <v>1.86905127</v>
      </c>
      <c r="H72" s="75">
        <f>SUMPRODUCT($B68:H68,(((H$2-$B$2:H$2)&gt;=Inputs!$G$32)+((H$2-$B$2:H$2)&lt;Inputs!$G$32)*(H$2-$B$2:H$2)/MAX(Inputs!$G$32,1)),((1-Inputs!$G$34)^(1/12))^(H$2-$B$2:H$2))</f>
        <v>1.843908891</v>
      </c>
      <c r="I72" s="75">
        <f>SUMPRODUCT($B68:I68,(((I$2-$B$2:I$2)&gt;=Inputs!$G$32)+((I$2-$B$2:I$2)&lt;Inputs!$G$32)*(I$2-$B$2:I$2)/MAX(Inputs!$G$32,1)),((1-Inputs!$G$34)^(1/12))^(I$2-$B$2:I$2))</f>
        <v>1.819104727</v>
      </c>
      <c r="J72" s="75">
        <f>SUMPRODUCT($B68:J68,(((J$2-$B$2:J$2)&gt;=Inputs!$G$32)+((J$2-$B$2:J$2)&lt;Inputs!$G$32)*(J$2-$B$2:J$2)/MAX(Inputs!$G$32,1)),((1-Inputs!$G$34)^(1/12))^(J$2-$B$2:J$2))</f>
        <v>1.794634226</v>
      </c>
      <c r="K72" s="75">
        <f>SUMPRODUCT($B68:K68,(((K$2-$B$2:K$2)&gt;=Inputs!$G$32)+((K$2-$B$2:K$2)&lt;Inputs!$G$32)*(K$2-$B$2:K$2)/MAX(Inputs!$G$32,1)),((1-Inputs!$G$34)^(1/12))^(K$2-$B$2:K$2))</f>
        <v>1.770492902</v>
      </c>
      <c r="L72" s="75">
        <f>SUMPRODUCT($B68:L68,(((L$2-$B$2:L$2)&gt;=Inputs!$G$32)+((L$2-$B$2:L$2)&lt;Inputs!$G$32)*(L$2-$B$2:L$2)/MAX(Inputs!$G$32,1)),((1-Inputs!$G$34)^(1/12))^(L$2-$B$2:L$2))</f>
        <v>1.746676325</v>
      </c>
      <c r="M72" s="75">
        <f>SUMPRODUCT($B68:M68,(((M$2-$B$2:M$2)&gt;=Inputs!$G$32)+((M$2-$B$2:M$2)&lt;Inputs!$G$32)*(M$2-$B$2:M$2)/MAX(Inputs!$G$32,1)),((1-Inputs!$G$34)^(1/12))^(M$2-$B$2:M$2))</f>
        <v>1.723180128</v>
      </c>
      <c r="N72" s="75">
        <f>SUMPRODUCT($B68:N68,(((N$2-$B$2:N$2)&gt;=Inputs!$G$32)+((N$2-$B$2:N$2)&lt;Inputs!$G$32)*(N$2-$B$2:N$2)/MAX(Inputs!$G$32,1)),((1-Inputs!$G$34)^(1/12))^(N$2-$B$2:N$2))</f>
        <v>1.7</v>
      </c>
      <c r="O72" s="75">
        <f>SUMPRODUCT($B68:O68,(((O$2-$B$2:O$2)&gt;=Inputs!$G$32)+((O$2-$B$2:O$2)&lt;Inputs!$G$32)*(O$2-$B$2:O$2)/MAX(Inputs!$G$32,1)),((1-Inputs!$G$34)^(1/12))^(O$2-$B$2:O$2))</f>
        <v>1.67713169</v>
      </c>
      <c r="P72" s="75">
        <f>SUMPRODUCT($B68:P68,(((P$2-$B$2:P$2)&gt;=Inputs!$G$32)+((P$2-$B$2:P$2)&lt;Inputs!$G$32)*(P$2-$B$2:P$2)/MAX(Inputs!$G$32,1)),((1-Inputs!$G$34)^(1/12))^(P$2-$B$2:P$2))</f>
        <v>1.654571003</v>
      </c>
      <c r="Q72" s="75">
        <f>SUMPRODUCT($B68:Q68,(((Q$2-$B$2:Q$2)&gt;=Inputs!$G$32)+((Q$2-$B$2:Q$2)&lt;Inputs!$G$32)*(Q$2-$B$2:Q$2)/MAX(Inputs!$G$32,1)),((1-Inputs!$G$34)^(1/12))^(Q$2-$B$2:Q$2))</f>
        <v>1.632313802</v>
      </c>
      <c r="R72" s="75">
        <f>SUMPRODUCT($B68:R68,(((R$2-$B$2:R$2)&gt;=Inputs!$G$32)+((R$2-$B$2:R$2)&lt;Inputs!$G$32)*(R$2-$B$2:R$2)/MAX(Inputs!$G$32,1)),((1-Inputs!$G$34)^(1/12))^(R$2-$B$2:R$2))</f>
        <v>1.610356003</v>
      </c>
      <c r="S72" s="75">
        <f>SUMPRODUCT($B68:S68,(((S$2-$B$2:S$2)&gt;=Inputs!$G$32)+((S$2-$B$2:S$2)&lt;Inputs!$G$32)*(S$2-$B$2:S$2)/MAX(Inputs!$G$32,1)),((1-Inputs!$G$34)^(1/12))^(S$2-$B$2:S$2))</f>
        <v>1.58869358</v>
      </c>
      <c r="T72" s="75">
        <f>SUMPRODUCT($B68:T68,(((T$2-$B$2:T$2)&gt;=Inputs!$G$32)+((T$2-$B$2:T$2)&lt;Inputs!$G$32)*(T$2-$B$2:T$2)/MAX(Inputs!$G$32,1)),((1-Inputs!$G$34)^(1/12))^(T$2-$B$2:T$2))</f>
        <v>1.567322558</v>
      </c>
      <c r="U72" s="75">
        <f>SUMPRODUCT($B68:U68,(((U$2-$B$2:U$2)&gt;=Inputs!$G$32)+((U$2-$B$2:U$2)&lt;Inputs!$G$32)*(U$2-$B$2:U$2)/MAX(Inputs!$G$32,1)),((1-Inputs!$G$34)^(1/12))^(U$2-$B$2:U$2))</f>
        <v>1.546239018</v>
      </c>
      <c r="V72" s="75">
        <f>SUMPRODUCT($B68:V68,(((V$2-$B$2:V$2)&gt;=Inputs!$G$32)+((V$2-$B$2:V$2)&lt;Inputs!$G$32)*(V$2-$B$2:V$2)/MAX(Inputs!$G$32,1)),((1-Inputs!$G$34)^(1/12))^(V$2-$B$2:V$2))</f>
        <v>1.525439092</v>
      </c>
      <c r="W72" s="75">
        <f>SUMPRODUCT($B68:W68,(((W$2-$B$2:W$2)&gt;=Inputs!$G$32)+((W$2-$B$2:W$2)&lt;Inputs!$G$32)*(W$2-$B$2:W$2)/MAX(Inputs!$G$32,1)),((1-Inputs!$G$34)^(1/12))^(W$2-$B$2:W$2))</f>
        <v>1.504918967</v>
      </c>
      <c r="X72" s="75">
        <f>SUMPRODUCT($B68:X68,(((X$2-$B$2:X$2)&gt;=Inputs!$G$32)+((X$2-$B$2:X$2)&lt;Inputs!$G$32)*(X$2-$B$2:X$2)/MAX(Inputs!$G$32,1)),((1-Inputs!$G$34)^(1/12))^(X$2-$B$2:X$2))</f>
        <v>1.484674876</v>
      </c>
      <c r="Y72" s="75">
        <f>SUMPRODUCT($B68:Y68,(((Y$2-$B$2:Y$2)&gt;=Inputs!$G$32)+((Y$2-$B$2:Y$2)&lt;Inputs!$G$32)*(Y$2-$B$2:Y$2)/MAX(Inputs!$G$32,1)),((1-Inputs!$G$34)^(1/12))^(Y$2-$B$2:Y$2))</f>
        <v>1.464703109</v>
      </c>
      <c r="Z72" s="76"/>
      <c r="AA72" s="76"/>
    </row>
    <row r="73" hidden="1" outlineLevel="1">
      <c r="A73" s="12" t="s">
        <v>358</v>
      </c>
      <c r="B73" s="76">
        <f>Inputs!$D$31*((1-Inputs!$G$34)^(1/12))^B$2+B72</f>
        <v>1.973096106</v>
      </c>
      <c r="C73" s="76">
        <f>Inputs!$D$31*((1-Inputs!$G$34)^(1/12))^C$2+C72</f>
        <v>2.439828148</v>
      </c>
      <c r="D73" s="76">
        <f>Inputs!$D$31*((1-Inputs!$G$34)^(1/12))^D$2+D72</f>
        <v>2.89364624</v>
      </c>
      <c r="E73" s="76">
        <f>Inputs!$D$31*((1-Inputs!$G$34)^(1/12))^E$2+E72</f>
        <v>3.334813358</v>
      </c>
      <c r="F73" s="76">
        <f>Inputs!$D$31*((1-Inputs!$G$34)^(1/12))^F$2+F72</f>
        <v>3.763587744</v>
      </c>
      <c r="G73" s="76">
        <f>Inputs!$D$31*((1-Inputs!$G$34)^(1/12))^G$2+G72</f>
        <v>3.712960162</v>
      </c>
      <c r="H73" s="76">
        <f>Inputs!$D$31*((1-Inputs!$G$34)^(1/12))^H$2+H72</f>
        <v>3.663013618</v>
      </c>
      <c r="I73" s="76">
        <f>Inputs!$D$31*((1-Inputs!$G$34)^(1/12))^I$2+I72</f>
        <v>3.613738953</v>
      </c>
      <c r="J73" s="76">
        <f>Inputs!$D$31*((1-Inputs!$G$34)^(1/12))^J$2+J72</f>
        <v>3.565127128</v>
      </c>
      <c r="K73" s="76">
        <f>Inputs!$D$31*((1-Inputs!$G$34)^(1/12))^K$2+K72</f>
        <v>3.517169227</v>
      </c>
      <c r="L73" s="76">
        <f>Inputs!$D$31*((1-Inputs!$G$34)^(1/12))^L$2+L72</f>
        <v>3.469856453</v>
      </c>
      <c r="M73" s="76">
        <f>Inputs!$D$31*((1-Inputs!$G$34)^(1/12))^M$2+M72</f>
        <v>3.423180128</v>
      </c>
      <c r="N73" s="76">
        <f>Inputs!$D$31*((1-Inputs!$G$34)^(1/12))^N$2+N72</f>
        <v>3.37713169</v>
      </c>
      <c r="O73" s="76">
        <f>Inputs!$D$31*((1-Inputs!$G$34)^(1/12))^O$2+O72</f>
        <v>3.331702694</v>
      </c>
      <c r="P73" s="76">
        <f>Inputs!$D$31*((1-Inputs!$G$34)^(1/12))^P$2+P72</f>
        <v>3.286884805</v>
      </c>
      <c r="Q73" s="76">
        <f>Inputs!$D$31*((1-Inputs!$G$34)^(1/12))^Q$2+Q72</f>
        <v>3.242669805</v>
      </c>
      <c r="R73" s="76">
        <f>Inputs!$D$31*((1-Inputs!$G$34)^(1/12))^R$2+R72</f>
        <v>3.199049583</v>
      </c>
      <c r="S73" s="76">
        <f>Inputs!$D$31*((1-Inputs!$G$34)^(1/12))^S$2+S72</f>
        <v>3.156016137</v>
      </c>
      <c r="T73" s="76">
        <f>Inputs!$D$31*((1-Inputs!$G$34)^(1/12))^T$2+T72</f>
        <v>3.113561575</v>
      </c>
      <c r="U73" s="76">
        <f>Inputs!$D$31*((1-Inputs!$G$34)^(1/12))^U$2+U72</f>
        <v>3.07167811</v>
      </c>
      <c r="V73" s="76">
        <f>Inputs!$D$31*((1-Inputs!$G$34)^(1/12))^V$2+V72</f>
        <v>3.030358059</v>
      </c>
      <c r="W73" s="76">
        <f>Inputs!$D$31*((1-Inputs!$G$34)^(1/12))^W$2+W72</f>
        <v>2.989593843</v>
      </c>
      <c r="X73" s="76">
        <f>Inputs!$D$31*((1-Inputs!$G$34)^(1/12))^X$2+X72</f>
        <v>2.949377985</v>
      </c>
      <c r="Y73" s="76">
        <f>Inputs!$D$31*((1-Inputs!$G$34)^(1/12))^Y$2+Y72</f>
        <v>2.909703109</v>
      </c>
      <c r="Z73" s="76">
        <f>M73</f>
        <v>3.423180128</v>
      </c>
      <c r="AA73" s="76">
        <f>Y73</f>
        <v>2.909703109</v>
      </c>
    </row>
    <row r="74" hidden="1" outlineLevel="1">
      <c r="A74" s="6" t="s">
        <v>359</v>
      </c>
      <c r="B74" s="75">
        <f>SUMPRODUCT($B68:B68,((((B$2-$B$2:B$2)-Inputs!$G$30)&gt;=Inputs!$G$32)+(((B$2-$B$2:B$2)-Inputs!$G$30)&lt;Inputs!$G$32)*((((B$2-$B$2:B$2)-Inputs!$G$30)/MAX(Inputs!$G$32,1)&gt;Inputs!$G$33)*((B$2-$B$2:B$2)-Inputs!$G$30)/MAX(Inputs!$G$32,1)+(((B$2-$B$2:B$2)-Inputs!$G$30)/MAX(Inputs!$G$32,1)&lt;=Inputs!$G$33)*Inputs!$G$33)),((1-Inputs!$G$34)^(1/12))^(B$2-$B$2:B$2))</f>
        <v>0</v>
      </c>
      <c r="C74" s="75">
        <f>SUMPRODUCT($B68:C68,((((C$2-$B$2:C$2)-Inputs!$G$30)&gt;=Inputs!$G$32)+(((C$2-$B$2:C$2)-Inputs!$G$30)&lt;Inputs!$G$32)*((((C$2-$B$2:C$2)-Inputs!$G$30)/MAX(Inputs!$G$32,1)&gt;Inputs!$G$33)*((C$2-$B$2:C$2)-Inputs!$G$30)/MAX(Inputs!$G$32,1)+(((C$2-$B$2:C$2)-Inputs!$G$30)/MAX(Inputs!$G$32,1)&lt;=Inputs!$G$33)*Inputs!$G$33)),((1-Inputs!$G$34)^(1/12))^(C$2-$B$2:C$2))</f>
        <v>0</v>
      </c>
      <c r="D74" s="75">
        <f>SUMPRODUCT($B68:D68,((((D$2-$B$2:D$2)-Inputs!$G$30)&gt;=Inputs!$G$32)+(((D$2-$B$2:D$2)-Inputs!$G$30)&lt;Inputs!$G$32)*((((D$2-$B$2:D$2)-Inputs!$G$30)/MAX(Inputs!$G$32,1)&gt;Inputs!$G$33)*((D$2-$B$2:D$2)-Inputs!$G$30)/MAX(Inputs!$G$32,1)+(((D$2-$B$2:D$2)-Inputs!$G$30)/MAX(Inputs!$G$32,1)&lt;=Inputs!$G$33)*Inputs!$G$33)),((1-Inputs!$G$34)^(1/12))^(D$2-$B$2:D$2))</f>
        <v>0</v>
      </c>
      <c r="E74" s="75">
        <f>SUMPRODUCT($B68:E68,((((E$2-$B$2:E$2)-Inputs!$G$30)&gt;=Inputs!$G$32)+(((E$2-$B$2:E$2)-Inputs!$G$30)&lt;Inputs!$G$32)*((((E$2-$B$2:E$2)-Inputs!$G$30)/MAX(Inputs!$G$32,1)&gt;Inputs!$G$33)*((E$2-$B$2:E$2)-Inputs!$G$30)/MAX(Inputs!$G$32,1)+(((E$2-$B$2:E$2)-Inputs!$G$30)/MAX(Inputs!$G$32,1)&lt;=Inputs!$G$33)*Inputs!$G$33)),((1-Inputs!$G$34)^(1/12))^(E$2-$B$2:E$2))</f>
        <v>0</v>
      </c>
      <c r="F74" s="75">
        <f>SUMPRODUCT($B68:F68,((((F$2-$B$2:F$2)-Inputs!$G$30)&gt;=Inputs!$G$32)+(((F$2-$B$2:F$2)-Inputs!$G$30)&lt;Inputs!$G$32)*((((F$2-$B$2:F$2)-Inputs!$G$30)/MAX(Inputs!$G$32,1)&gt;Inputs!$G$33)*((F$2-$B$2:F$2)-Inputs!$G$30)/MAX(Inputs!$G$32,1)+(((F$2-$B$2:F$2)-Inputs!$G$30)/MAX(Inputs!$G$32,1)&lt;=Inputs!$G$33)*Inputs!$G$33)),((1-Inputs!$G$34)^(1/12))^(F$2-$B$2:F$2))</f>
        <v>0</v>
      </c>
      <c r="G74" s="75">
        <f>SUMPRODUCT($B68:G68,((((G$2-$B$2:G$2)-Inputs!$G$30)&gt;=Inputs!$G$32)+(((G$2-$B$2:G$2)-Inputs!$G$30)&lt;Inputs!$G$32)*((((G$2-$B$2:G$2)-Inputs!$G$30)/MAX(Inputs!$G$32,1)&gt;Inputs!$G$33)*((G$2-$B$2:G$2)-Inputs!$G$30)/MAX(Inputs!$G$32,1)+(((G$2-$B$2:G$2)-Inputs!$G$30)/MAX(Inputs!$G$32,1)&lt;=Inputs!$G$33)*Inputs!$G$33)),((1-Inputs!$G$34)^(1/12))^(G$2-$B$2:G$2))</f>
        <v>0</v>
      </c>
      <c r="H74" s="75">
        <f>SUMPRODUCT($B68:H68,((((H$2-$B$2:H$2)-Inputs!$G$30)&gt;=Inputs!$G$32)+(((H$2-$B$2:H$2)-Inputs!$G$30)&lt;Inputs!$G$32)*((((H$2-$B$2:H$2)-Inputs!$G$30)/MAX(Inputs!$G$32,1)&gt;Inputs!$G$33)*((H$2-$B$2:H$2)-Inputs!$G$30)/MAX(Inputs!$G$32,1)+(((H$2-$B$2:H$2)-Inputs!$G$30)/MAX(Inputs!$G$32,1)&lt;=Inputs!$G$33)*Inputs!$G$33)),((1-Inputs!$G$34)^(1/12))^(H$2-$B$2:H$2))</f>
        <v>0</v>
      </c>
      <c r="I74" s="75">
        <f>SUMPRODUCT($B68:I68,((((I$2-$B$2:I$2)-Inputs!$G$30)&gt;=Inputs!$G$32)+(((I$2-$B$2:I$2)-Inputs!$G$30)&lt;Inputs!$G$32)*((((I$2-$B$2:I$2)-Inputs!$G$30)/MAX(Inputs!$G$32,1)&gt;Inputs!$G$33)*((I$2-$B$2:I$2)-Inputs!$G$30)/MAX(Inputs!$G$32,1)+(((I$2-$B$2:I$2)-Inputs!$G$30)/MAX(Inputs!$G$32,1)&lt;=Inputs!$G$33)*Inputs!$G$33)),((1-Inputs!$G$34)^(1/12))^(I$2-$B$2:I$2))</f>
        <v>0.4547761817</v>
      </c>
      <c r="J74" s="75">
        <f>SUMPRODUCT($B68:J68,((((J$2-$B$2:J$2)-Inputs!$G$30)&gt;=Inputs!$G$32)+(((J$2-$B$2:J$2)-Inputs!$G$30)&lt;Inputs!$G$32)*((((J$2-$B$2:J$2)-Inputs!$G$30)/MAX(Inputs!$G$32,1)&gt;Inputs!$G$33)*((J$2-$B$2:J$2)-Inputs!$G$30)/MAX(Inputs!$G$32,1)+(((J$2-$B$2:J$2)-Inputs!$G$30)/MAX(Inputs!$G$32,1)&lt;=Inputs!$G$33)*Inputs!$G$33)),((1-Inputs!$G$34)^(1/12))^(J$2-$B$2:J$2))</f>
        <v>0.8973171132</v>
      </c>
      <c r="K74" s="75">
        <f>SUMPRODUCT($B68:K68,((((K$2-$B$2:K$2)-Inputs!$G$30)&gt;=Inputs!$G$32)+(((K$2-$B$2:K$2)-Inputs!$G$30)&lt;Inputs!$G$32)*((((K$2-$B$2:K$2)-Inputs!$G$30)/MAX(Inputs!$G$32,1)&gt;Inputs!$G$33)*((K$2-$B$2:K$2)-Inputs!$G$30)/MAX(Inputs!$G$32,1)+(((K$2-$B$2:K$2)-Inputs!$G$30)/MAX(Inputs!$G$32,1)&lt;=Inputs!$G$33)*Inputs!$G$33)),((1-Inputs!$G$34)^(1/12))^(K$2-$B$2:K$2))</f>
        <v>1.327869676</v>
      </c>
      <c r="L74" s="75">
        <f>SUMPRODUCT($B68:L68,((((L$2-$B$2:L$2)-Inputs!$G$30)&gt;=Inputs!$G$32)+(((L$2-$B$2:L$2)-Inputs!$G$30)&lt;Inputs!$G$32)*((((L$2-$B$2:L$2)-Inputs!$G$30)/MAX(Inputs!$G$32,1)&gt;Inputs!$G$33)*((L$2-$B$2:L$2)-Inputs!$G$30)/MAX(Inputs!$G$32,1)+(((L$2-$B$2:L$2)-Inputs!$G$30)/MAX(Inputs!$G$32,1)&lt;=Inputs!$G$33)*Inputs!$G$33)),((1-Inputs!$G$34)^(1/12))^(L$2-$B$2:L$2))</f>
        <v>1.746676325</v>
      </c>
      <c r="M74" s="75">
        <f>SUMPRODUCT($B68:M68,((((M$2-$B$2:M$2)-Inputs!$G$30)&gt;=Inputs!$G$32)+(((M$2-$B$2:M$2)-Inputs!$G$30)&lt;Inputs!$G$32)*((((M$2-$B$2:M$2)-Inputs!$G$30)/MAX(Inputs!$G$32,1)&gt;Inputs!$G$33)*((M$2-$B$2:M$2)-Inputs!$G$30)/MAX(Inputs!$G$32,1)+(((M$2-$B$2:M$2)-Inputs!$G$30)/MAX(Inputs!$G$32,1)&lt;=Inputs!$G$33)*Inputs!$G$33)),((1-Inputs!$G$34)^(1/12))^(M$2-$B$2:M$2))</f>
        <v>1.723180128</v>
      </c>
      <c r="N74" s="75">
        <f>SUMPRODUCT($B68:N68,((((N$2-$B$2:N$2)-Inputs!$G$30)&gt;=Inputs!$G$32)+(((N$2-$B$2:N$2)-Inputs!$G$30)&lt;Inputs!$G$32)*((((N$2-$B$2:N$2)-Inputs!$G$30)/MAX(Inputs!$G$32,1)&gt;Inputs!$G$33)*((N$2-$B$2:N$2)-Inputs!$G$30)/MAX(Inputs!$G$32,1)+(((N$2-$B$2:N$2)-Inputs!$G$30)/MAX(Inputs!$G$32,1)&lt;=Inputs!$G$33)*Inputs!$G$33)),((1-Inputs!$G$34)^(1/12))^(N$2-$B$2:N$2))</f>
        <v>1.7</v>
      </c>
      <c r="O74" s="75">
        <f>SUMPRODUCT($B68:O68,((((O$2-$B$2:O$2)-Inputs!$G$30)&gt;=Inputs!$G$32)+(((O$2-$B$2:O$2)-Inputs!$G$30)&lt;Inputs!$G$32)*((((O$2-$B$2:O$2)-Inputs!$G$30)/MAX(Inputs!$G$32,1)&gt;Inputs!$G$33)*((O$2-$B$2:O$2)-Inputs!$G$30)/MAX(Inputs!$G$32,1)+(((O$2-$B$2:O$2)-Inputs!$G$30)/MAX(Inputs!$G$32,1)&lt;=Inputs!$G$33)*Inputs!$G$33)),((1-Inputs!$G$34)^(1/12))^(O$2-$B$2:O$2))</f>
        <v>1.67713169</v>
      </c>
      <c r="P74" s="75">
        <f>SUMPRODUCT($B68:P68,((((P$2-$B$2:P$2)-Inputs!$G$30)&gt;=Inputs!$G$32)+(((P$2-$B$2:P$2)-Inputs!$G$30)&lt;Inputs!$G$32)*((((P$2-$B$2:P$2)-Inputs!$G$30)/MAX(Inputs!$G$32,1)&gt;Inputs!$G$33)*((P$2-$B$2:P$2)-Inputs!$G$30)/MAX(Inputs!$G$32,1)+(((P$2-$B$2:P$2)-Inputs!$G$30)/MAX(Inputs!$G$32,1)&lt;=Inputs!$G$33)*Inputs!$G$33)),((1-Inputs!$G$34)^(1/12))^(P$2-$B$2:P$2))</f>
        <v>1.654571003</v>
      </c>
      <c r="Q74" s="75">
        <f>SUMPRODUCT($B68:Q68,((((Q$2-$B$2:Q$2)-Inputs!$G$30)&gt;=Inputs!$G$32)+(((Q$2-$B$2:Q$2)-Inputs!$G$30)&lt;Inputs!$G$32)*((((Q$2-$B$2:Q$2)-Inputs!$G$30)/MAX(Inputs!$G$32,1)&gt;Inputs!$G$33)*((Q$2-$B$2:Q$2)-Inputs!$G$30)/MAX(Inputs!$G$32,1)+(((Q$2-$B$2:Q$2)-Inputs!$G$30)/MAX(Inputs!$G$32,1)&lt;=Inputs!$G$33)*Inputs!$G$33)),((1-Inputs!$G$34)^(1/12))^(Q$2-$B$2:Q$2))</f>
        <v>1.632313802</v>
      </c>
      <c r="R74" s="75">
        <f>SUMPRODUCT($B68:R68,((((R$2-$B$2:R$2)-Inputs!$G$30)&gt;=Inputs!$G$32)+(((R$2-$B$2:R$2)-Inputs!$G$30)&lt;Inputs!$G$32)*((((R$2-$B$2:R$2)-Inputs!$G$30)/MAX(Inputs!$G$32,1)&gt;Inputs!$G$33)*((R$2-$B$2:R$2)-Inputs!$G$30)/MAX(Inputs!$G$32,1)+(((R$2-$B$2:R$2)-Inputs!$G$30)/MAX(Inputs!$G$32,1)&lt;=Inputs!$G$33)*Inputs!$G$33)),((1-Inputs!$G$34)^(1/12))^(R$2-$B$2:R$2))</f>
        <v>1.610356003</v>
      </c>
      <c r="S74" s="75">
        <f>SUMPRODUCT($B68:S68,((((S$2-$B$2:S$2)-Inputs!$G$30)&gt;=Inputs!$G$32)+(((S$2-$B$2:S$2)-Inputs!$G$30)&lt;Inputs!$G$32)*((((S$2-$B$2:S$2)-Inputs!$G$30)/MAX(Inputs!$G$32,1)&gt;Inputs!$G$33)*((S$2-$B$2:S$2)-Inputs!$G$30)/MAX(Inputs!$G$32,1)+(((S$2-$B$2:S$2)-Inputs!$G$30)/MAX(Inputs!$G$32,1)&lt;=Inputs!$G$33)*Inputs!$G$33)),((1-Inputs!$G$34)^(1/12))^(S$2-$B$2:S$2))</f>
        <v>1.58869358</v>
      </c>
      <c r="T74" s="75">
        <f>SUMPRODUCT($B68:T68,((((T$2-$B$2:T$2)-Inputs!$G$30)&gt;=Inputs!$G$32)+(((T$2-$B$2:T$2)-Inputs!$G$30)&lt;Inputs!$G$32)*((((T$2-$B$2:T$2)-Inputs!$G$30)/MAX(Inputs!$G$32,1)&gt;Inputs!$G$33)*((T$2-$B$2:T$2)-Inputs!$G$30)/MAX(Inputs!$G$32,1)+(((T$2-$B$2:T$2)-Inputs!$G$30)/MAX(Inputs!$G$32,1)&lt;=Inputs!$G$33)*Inputs!$G$33)),((1-Inputs!$G$34)^(1/12))^(T$2-$B$2:T$2))</f>
        <v>1.567322558</v>
      </c>
      <c r="U74" s="75">
        <f>SUMPRODUCT($B68:U68,((((U$2-$B$2:U$2)-Inputs!$G$30)&gt;=Inputs!$G$32)+(((U$2-$B$2:U$2)-Inputs!$G$30)&lt;Inputs!$G$32)*((((U$2-$B$2:U$2)-Inputs!$G$30)/MAX(Inputs!$G$32,1)&gt;Inputs!$G$33)*((U$2-$B$2:U$2)-Inputs!$G$30)/MAX(Inputs!$G$32,1)+(((U$2-$B$2:U$2)-Inputs!$G$30)/MAX(Inputs!$G$32,1)&lt;=Inputs!$G$33)*Inputs!$G$33)),((1-Inputs!$G$34)^(1/12))^(U$2-$B$2:U$2))</f>
        <v>1.546239018</v>
      </c>
      <c r="V74" s="75">
        <f>SUMPRODUCT($B68:V68,((((V$2-$B$2:V$2)-Inputs!$G$30)&gt;=Inputs!$G$32)+(((V$2-$B$2:V$2)-Inputs!$G$30)&lt;Inputs!$G$32)*((((V$2-$B$2:V$2)-Inputs!$G$30)/MAX(Inputs!$G$32,1)&gt;Inputs!$G$33)*((V$2-$B$2:V$2)-Inputs!$G$30)/MAX(Inputs!$G$32,1)+(((V$2-$B$2:V$2)-Inputs!$G$30)/MAX(Inputs!$G$32,1)&lt;=Inputs!$G$33)*Inputs!$G$33)),((1-Inputs!$G$34)^(1/12))^(V$2-$B$2:V$2))</f>
        <v>1.525439092</v>
      </c>
      <c r="W74" s="75">
        <f>SUMPRODUCT($B68:W68,((((W$2-$B$2:W$2)-Inputs!$G$30)&gt;=Inputs!$G$32)+(((W$2-$B$2:W$2)-Inputs!$G$30)&lt;Inputs!$G$32)*((((W$2-$B$2:W$2)-Inputs!$G$30)/MAX(Inputs!$G$32,1)&gt;Inputs!$G$33)*((W$2-$B$2:W$2)-Inputs!$G$30)/MAX(Inputs!$G$32,1)+(((W$2-$B$2:W$2)-Inputs!$G$30)/MAX(Inputs!$G$32,1)&lt;=Inputs!$G$33)*Inputs!$G$33)),((1-Inputs!$G$34)^(1/12))^(W$2-$B$2:W$2))</f>
        <v>1.504918967</v>
      </c>
      <c r="X74" s="75">
        <f>SUMPRODUCT($B68:X68,((((X$2-$B$2:X$2)-Inputs!$G$30)&gt;=Inputs!$G$32)+(((X$2-$B$2:X$2)-Inputs!$G$30)&lt;Inputs!$G$32)*((((X$2-$B$2:X$2)-Inputs!$G$30)/MAX(Inputs!$G$32,1)&gt;Inputs!$G$33)*((X$2-$B$2:X$2)-Inputs!$G$30)/MAX(Inputs!$G$32,1)+(((X$2-$B$2:X$2)-Inputs!$G$30)/MAX(Inputs!$G$32,1)&lt;=Inputs!$G$33)*Inputs!$G$33)),((1-Inputs!$G$34)^(1/12))^(X$2-$B$2:X$2))</f>
        <v>1.484674876</v>
      </c>
      <c r="Y74" s="75">
        <f>SUMPRODUCT($B68:Y68,((((Y$2-$B$2:Y$2)-Inputs!$G$30)&gt;=Inputs!$G$32)+(((Y$2-$B$2:Y$2)-Inputs!$G$30)&lt;Inputs!$G$32)*((((Y$2-$B$2:Y$2)-Inputs!$G$30)/MAX(Inputs!$G$32,1)&gt;Inputs!$G$33)*((Y$2-$B$2:Y$2)-Inputs!$G$30)/MAX(Inputs!$G$32,1)+(((Y$2-$B$2:Y$2)-Inputs!$G$30)/MAX(Inputs!$G$32,1)&lt;=Inputs!$G$33)*Inputs!$G$33)),((1-Inputs!$G$34)^(1/12))^(Y$2-$B$2:Y$2))</f>
        <v>1.464703109</v>
      </c>
      <c r="Z74" s="76"/>
      <c r="AA74" s="76"/>
    </row>
    <row r="75" hidden="1" outlineLevel="1">
      <c r="A75" s="6" t="s">
        <v>350</v>
      </c>
      <c r="B75" s="75">
        <f>Inputs!$D$31*((1-Inputs!$G$34)^(1/12))^B$2+B74</f>
        <v>1.973096106</v>
      </c>
      <c r="C75" s="75">
        <f>Inputs!$D$31*((1-Inputs!$G$34)^(1/12))^C$2+C74</f>
        <v>1.946554122</v>
      </c>
      <c r="D75" s="75">
        <f>Inputs!$D$31*((1-Inputs!$G$34)^(1/12))^D$2+D74</f>
        <v>1.920369179</v>
      </c>
      <c r="E75" s="75">
        <f>Inputs!$D$31*((1-Inputs!$G$34)^(1/12))^E$2+E74</f>
        <v>1.894536474</v>
      </c>
      <c r="F75" s="75">
        <f>Inputs!$D$31*((1-Inputs!$G$34)^(1/12))^F$2+F74</f>
        <v>1.86905127</v>
      </c>
      <c r="G75" s="75">
        <f>Inputs!$D$31*((1-Inputs!$G$34)^(1/12))^G$2+G74</f>
        <v>1.843908891</v>
      </c>
      <c r="H75" s="75">
        <f>Inputs!$D$31*((1-Inputs!$G$34)^(1/12))^H$2+H74</f>
        <v>1.819104727</v>
      </c>
      <c r="I75" s="75">
        <f>Inputs!$D$31*((1-Inputs!$G$34)^(1/12))^I$2+I74</f>
        <v>2.249410408</v>
      </c>
      <c r="J75" s="75">
        <f>Inputs!$D$31*((1-Inputs!$G$34)^(1/12))^J$2+J74</f>
        <v>2.667810015</v>
      </c>
      <c r="K75" s="75">
        <f>Inputs!$D$31*((1-Inputs!$G$34)^(1/12))^K$2+K74</f>
        <v>3.074546002</v>
      </c>
      <c r="L75" s="75">
        <f>Inputs!$D$31*((1-Inputs!$G$34)^(1/12))^L$2+L74</f>
        <v>3.469856453</v>
      </c>
      <c r="M75" s="75">
        <f>Inputs!$D$31*((1-Inputs!$G$34)^(1/12))^M$2+M74</f>
        <v>3.423180128</v>
      </c>
      <c r="N75" s="75">
        <f>Inputs!$D$31*((1-Inputs!$G$34)^(1/12))^N$2+N74</f>
        <v>3.37713169</v>
      </c>
      <c r="O75" s="75">
        <f>Inputs!$D$31*((1-Inputs!$G$34)^(1/12))^O$2+O74</f>
        <v>3.331702694</v>
      </c>
      <c r="P75" s="75">
        <f>Inputs!$D$31*((1-Inputs!$G$34)^(1/12))^P$2+P74</f>
        <v>3.286884805</v>
      </c>
      <c r="Q75" s="75">
        <f>Inputs!$D$31*((1-Inputs!$G$34)^(1/12))^Q$2+Q74</f>
        <v>3.242669805</v>
      </c>
      <c r="R75" s="75">
        <f>Inputs!$D$31*((1-Inputs!$G$34)^(1/12))^R$2+R74</f>
        <v>3.199049583</v>
      </c>
      <c r="S75" s="75">
        <f>Inputs!$D$31*((1-Inputs!$G$34)^(1/12))^S$2+S74</f>
        <v>3.156016137</v>
      </c>
      <c r="T75" s="75">
        <f>Inputs!$D$31*((1-Inputs!$G$34)^(1/12))^T$2+T74</f>
        <v>3.113561575</v>
      </c>
      <c r="U75" s="75">
        <f>Inputs!$D$31*((1-Inputs!$G$34)^(1/12))^U$2+U74</f>
        <v>3.07167811</v>
      </c>
      <c r="V75" s="75">
        <f>Inputs!$D$31*((1-Inputs!$G$34)^(1/12))^V$2+V74</f>
        <v>3.030358059</v>
      </c>
      <c r="W75" s="75">
        <f>Inputs!$D$31*((1-Inputs!$G$34)^(1/12))^W$2+W74</f>
        <v>2.989593843</v>
      </c>
      <c r="X75" s="75">
        <f>Inputs!$D$31*((1-Inputs!$G$34)^(1/12))^X$2+X74</f>
        <v>2.949377985</v>
      </c>
      <c r="Y75" s="75">
        <f>Inputs!$D$31*((1-Inputs!$G$34)^(1/12))^Y$2+Y74</f>
        <v>2.909703109</v>
      </c>
      <c r="Z75" s="76">
        <f>M75</f>
        <v>3.423180128</v>
      </c>
      <c r="AA75" s="76">
        <f>Y75</f>
        <v>2.909703109</v>
      </c>
    </row>
    <row r="76" hidden="1" outlineLevel="1">
      <c r="A76" s="6" t="s">
        <v>360</v>
      </c>
      <c r="B76" s="70">
        <f>'Rep capacity'!$D$31</f>
        <v>75000</v>
      </c>
      <c r="C76" s="70">
        <f>'Rep capacity'!$D$31</f>
        <v>75000</v>
      </c>
      <c r="D76" s="70">
        <f>'Rep capacity'!$D$31</f>
        <v>75000</v>
      </c>
      <c r="E76" s="70">
        <f>'Rep capacity'!$D$31</f>
        <v>75000</v>
      </c>
      <c r="F76" s="70">
        <f>'Rep capacity'!$D$31</f>
        <v>75000</v>
      </c>
      <c r="G76" s="70">
        <f>'Rep capacity'!$D$31</f>
        <v>75000</v>
      </c>
      <c r="H76" s="70">
        <f>'Rep capacity'!$D$31</f>
        <v>75000</v>
      </c>
      <c r="I76" s="70">
        <f>'Rep capacity'!$D$31</f>
        <v>75000</v>
      </c>
      <c r="J76" s="70">
        <f>'Rep capacity'!$D$31</f>
        <v>75000</v>
      </c>
      <c r="K76" s="70">
        <f>'Rep capacity'!$D$31</f>
        <v>75000</v>
      </c>
      <c r="L76" s="70">
        <f>'Rep capacity'!$D$31</f>
        <v>75000</v>
      </c>
      <c r="M76" s="70">
        <f>'Rep capacity'!$D$31</f>
        <v>75000</v>
      </c>
      <c r="N76" s="70">
        <f>'Rep capacity'!$D$31</f>
        <v>75000</v>
      </c>
      <c r="O76" s="70">
        <f>'Rep capacity'!$D$31</f>
        <v>75000</v>
      </c>
      <c r="P76" s="70">
        <f>'Rep capacity'!$D$31</f>
        <v>75000</v>
      </c>
      <c r="Q76" s="70">
        <f>'Rep capacity'!$D$31</f>
        <v>75000</v>
      </c>
      <c r="R76" s="70">
        <f>'Rep capacity'!$D$31</f>
        <v>75000</v>
      </c>
      <c r="S76" s="70">
        <f>'Rep capacity'!$D$31</f>
        <v>75000</v>
      </c>
      <c r="T76" s="70">
        <f>'Rep capacity'!$D$31</f>
        <v>75000</v>
      </c>
      <c r="U76" s="70">
        <f>'Rep capacity'!$D$31</f>
        <v>75000</v>
      </c>
      <c r="V76" s="70">
        <f>'Rep capacity'!$D$31</f>
        <v>75000</v>
      </c>
      <c r="W76" s="70">
        <f>'Rep capacity'!$D$31</f>
        <v>75000</v>
      </c>
      <c r="X76" s="70">
        <f>'Rep capacity'!$D$31</f>
        <v>75000</v>
      </c>
      <c r="Y76" s="70">
        <f>'Rep capacity'!$D$31</f>
        <v>75000</v>
      </c>
      <c r="Z76" s="71"/>
      <c r="AA76" s="71"/>
    </row>
    <row r="77" hidden="1" outlineLevel="1">
      <c r="A77" s="12" t="s">
        <v>361</v>
      </c>
      <c r="B77" s="71">
        <f t="shared" ref="B77:Y77" si="22">B75*B76</f>
        <v>147982.2079</v>
      </c>
      <c r="C77" s="71">
        <f t="shared" si="22"/>
        <v>145991.5591</v>
      </c>
      <c r="D77" s="71">
        <f t="shared" si="22"/>
        <v>144027.6884</v>
      </c>
      <c r="E77" s="71">
        <f t="shared" si="22"/>
        <v>142090.2356</v>
      </c>
      <c r="F77" s="71">
        <f t="shared" si="22"/>
        <v>140178.8453</v>
      </c>
      <c r="G77" s="71">
        <f t="shared" si="22"/>
        <v>138293.1669</v>
      </c>
      <c r="H77" s="71">
        <f t="shared" si="22"/>
        <v>136432.8545</v>
      </c>
      <c r="I77" s="71">
        <f t="shared" si="22"/>
        <v>168705.7806</v>
      </c>
      <c r="J77" s="71">
        <f t="shared" si="22"/>
        <v>200085.7511</v>
      </c>
      <c r="K77" s="71">
        <f t="shared" si="22"/>
        <v>230590.9501</v>
      </c>
      <c r="L77" s="71">
        <f t="shared" si="22"/>
        <v>260239.234</v>
      </c>
      <c r="M77" s="71">
        <f t="shared" si="22"/>
        <v>256738.5096</v>
      </c>
      <c r="N77" s="71">
        <f t="shared" si="22"/>
        <v>253284.8768</v>
      </c>
      <c r="O77" s="71">
        <f t="shared" si="22"/>
        <v>249877.702</v>
      </c>
      <c r="P77" s="71">
        <f t="shared" si="22"/>
        <v>246516.3604</v>
      </c>
      <c r="Q77" s="71">
        <f t="shared" si="22"/>
        <v>243200.2354</v>
      </c>
      <c r="R77" s="71">
        <f t="shared" si="22"/>
        <v>239928.7187</v>
      </c>
      <c r="S77" s="71">
        <f t="shared" si="22"/>
        <v>236701.2103</v>
      </c>
      <c r="T77" s="71">
        <f t="shared" si="22"/>
        <v>233517.1182</v>
      </c>
      <c r="U77" s="71">
        <f t="shared" si="22"/>
        <v>230375.8583</v>
      </c>
      <c r="V77" s="71">
        <f t="shared" si="22"/>
        <v>227276.8544</v>
      </c>
      <c r="W77" s="71">
        <f t="shared" si="22"/>
        <v>224219.5382</v>
      </c>
      <c r="X77" s="71">
        <f t="shared" si="22"/>
        <v>221203.3489</v>
      </c>
      <c r="Y77" s="71">
        <f t="shared" si="22"/>
        <v>218227.7331</v>
      </c>
      <c r="Z77" s="71">
        <f t="shared" ref="Z77:Z78" si="23">SUM(B77:M77)</f>
        <v>2111356.783</v>
      </c>
      <c r="AA77" s="71">
        <f t="shared" ref="AA77:AA78" si="24">SUM(N77:Y77)</f>
        <v>2824329.555</v>
      </c>
    </row>
    <row r="78" hidden="1" outlineLevel="1">
      <c r="A78" s="38" t="s">
        <v>362</v>
      </c>
      <c r="B78" s="77">
        <f>SUMPRODUCT($B68:B68,((((B$2-$B$2:B$2)-Inputs!$G$30)&lt;Inputs!$G$32)*(Inputs!$G$33&gt;((((B$2-$B$2:B$2)-Inputs!$G$30)&gt;0)*((B$2-$B$2:B$2)-Inputs!$G$30)/MAX(Inputs!$G$32,1)))*(Inputs!$G$33-((((B$2-$B$2:B$2)-Inputs!$G$30)&gt;0)*((B$2-$B$2:B$2)-Inputs!$G$30)/MAX(Inputs!$G$32,1)))),((1-Inputs!$G$34)^(1/12))^(B$2-$B$2:B$2))*B76</f>
        <v>0</v>
      </c>
      <c r="C78" s="77">
        <f>SUMPRODUCT($B68:C68,((((C$2-$B$2:C$2)-Inputs!$G$30)&lt;Inputs!$G$32)*(Inputs!$G$33&gt;((((C$2-$B$2:C$2)-Inputs!$G$30)&gt;0)*((C$2-$B$2:C$2)-Inputs!$G$30)/MAX(Inputs!$G$32,1)))*(Inputs!$G$33-((((C$2-$B$2:C$2)-Inputs!$G$30)&gt;0)*((C$2-$B$2:C$2)-Inputs!$G$30)/MAX(Inputs!$G$32,1)))),((1-Inputs!$G$34)^(1/12))^(C$2-$B$2:C$2))*C76</f>
        <v>0</v>
      </c>
      <c r="D78" s="77">
        <f>SUMPRODUCT($B68:D68,((((D$2-$B$2:D$2)-Inputs!$G$30)&lt;Inputs!$G$32)*(Inputs!$G$33&gt;((((D$2-$B$2:D$2)-Inputs!$G$30)&gt;0)*((D$2-$B$2:D$2)-Inputs!$G$30)/MAX(Inputs!$G$32,1)))*(Inputs!$G$33-((((D$2-$B$2:D$2)-Inputs!$G$30)&gt;0)*((D$2-$B$2:D$2)-Inputs!$G$30)/MAX(Inputs!$G$32,1)))),((1-Inputs!$G$34)^(1/12))^(D$2-$B$2:D$2))*D76</f>
        <v>0</v>
      </c>
      <c r="E78" s="77">
        <f>SUMPRODUCT($B68:E68,((((E$2-$B$2:E$2)-Inputs!$G$30)&lt;Inputs!$G$32)*(Inputs!$G$33&gt;((((E$2-$B$2:E$2)-Inputs!$G$30)&gt;0)*((E$2-$B$2:E$2)-Inputs!$G$30)/MAX(Inputs!$G$32,1)))*(Inputs!$G$33-((((E$2-$B$2:E$2)-Inputs!$G$30)&gt;0)*((E$2-$B$2:E$2)-Inputs!$G$30)/MAX(Inputs!$G$32,1)))),((1-Inputs!$G$34)^(1/12))^(E$2-$B$2:E$2))*E76</f>
        <v>0</v>
      </c>
      <c r="F78" s="77">
        <f>SUMPRODUCT($B68:F68,((((F$2-$B$2:F$2)-Inputs!$G$30)&lt;Inputs!$G$32)*(Inputs!$G$33&gt;((((F$2-$B$2:F$2)-Inputs!$G$30)&gt;0)*((F$2-$B$2:F$2)-Inputs!$G$30)/MAX(Inputs!$G$32,1)))*(Inputs!$G$33-((((F$2-$B$2:F$2)-Inputs!$G$30)&gt;0)*((F$2-$B$2:F$2)-Inputs!$G$30)/MAX(Inputs!$G$32,1)))),((1-Inputs!$G$34)^(1/12))^(F$2-$B$2:F$2))*F76</f>
        <v>0</v>
      </c>
      <c r="G78" s="77">
        <f>SUMPRODUCT($B68:G68,((((G$2-$B$2:G$2)-Inputs!$G$30)&lt;Inputs!$G$32)*(Inputs!$G$33&gt;((((G$2-$B$2:G$2)-Inputs!$G$30)&gt;0)*((G$2-$B$2:G$2)-Inputs!$G$30)/MAX(Inputs!$G$32,1)))*(Inputs!$G$33-((((G$2-$B$2:G$2)-Inputs!$G$30)&gt;0)*((G$2-$B$2:G$2)-Inputs!$G$30)/MAX(Inputs!$G$32,1)))),((1-Inputs!$G$34)^(1/12))^(G$2-$B$2:G$2))*G76</f>
        <v>0</v>
      </c>
      <c r="H78" s="77">
        <f>SUMPRODUCT($B68:H68,((((H$2-$B$2:H$2)-Inputs!$G$30)&lt;Inputs!$G$32)*(Inputs!$G$33&gt;((((H$2-$B$2:H$2)-Inputs!$G$30)&gt;0)*((H$2-$B$2:H$2)-Inputs!$G$30)/MAX(Inputs!$G$32,1)))*(Inputs!$G$33-((((H$2-$B$2:H$2)-Inputs!$G$30)&gt;0)*((H$2-$B$2:H$2)-Inputs!$G$30)/MAX(Inputs!$G$32,1)))),((1-Inputs!$G$34)^(1/12))^(H$2-$B$2:H$2))*H76</f>
        <v>0</v>
      </c>
      <c r="I78" s="77">
        <f>SUMPRODUCT($B68:I68,((((I$2-$B$2:I$2)-Inputs!$G$30)&lt;Inputs!$G$32)*(Inputs!$G$33&gt;((((I$2-$B$2:I$2)-Inputs!$G$30)&gt;0)*((I$2-$B$2:I$2)-Inputs!$G$30)/MAX(Inputs!$G$32,1)))*(Inputs!$G$33-((((I$2-$B$2:I$2)-Inputs!$G$30)&gt;0)*((I$2-$B$2:I$2)-Inputs!$G$30)/MAX(Inputs!$G$32,1)))),((1-Inputs!$G$34)^(1/12))^(I$2-$B$2:I$2))*I76</f>
        <v>0</v>
      </c>
      <c r="J78" s="77">
        <f>SUMPRODUCT($B68:J68,((((J$2-$B$2:J$2)-Inputs!$G$30)&lt;Inputs!$G$32)*(Inputs!$G$33&gt;((((J$2-$B$2:J$2)-Inputs!$G$30)&gt;0)*((J$2-$B$2:J$2)-Inputs!$G$30)/MAX(Inputs!$G$32,1)))*(Inputs!$G$33-((((J$2-$B$2:J$2)-Inputs!$G$30)&gt;0)*((J$2-$B$2:J$2)-Inputs!$G$30)/MAX(Inputs!$G$32,1)))),((1-Inputs!$G$34)^(1/12))^(J$2-$B$2:J$2))*J76</f>
        <v>0</v>
      </c>
      <c r="K78" s="77">
        <f>SUMPRODUCT($B68:K68,((((K$2-$B$2:K$2)-Inputs!$G$30)&lt;Inputs!$G$32)*(Inputs!$G$33&gt;((((K$2-$B$2:K$2)-Inputs!$G$30)&gt;0)*((K$2-$B$2:K$2)-Inputs!$G$30)/MAX(Inputs!$G$32,1)))*(Inputs!$G$33-((((K$2-$B$2:K$2)-Inputs!$G$30)&gt;0)*((K$2-$B$2:K$2)-Inputs!$G$30)/MAX(Inputs!$G$32,1)))),((1-Inputs!$G$34)^(1/12))^(K$2-$B$2:K$2))*K76</f>
        <v>0</v>
      </c>
      <c r="L78" s="77">
        <f>SUMPRODUCT($B68:L68,((((L$2-$B$2:L$2)-Inputs!$G$30)&lt;Inputs!$G$32)*(Inputs!$G$33&gt;((((L$2-$B$2:L$2)-Inputs!$G$30)&gt;0)*((L$2-$B$2:L$2)-Inputs!$G$30)/MAX(Inputs!$G$32,1)))*(Inputs!$G$33-((((L$2-$B$2:L$2)-Inputs!$G$30)&gt;0)*((L$2-$B$2:L$2)-Inputs!$G$30)/MAX(Inputs!$G$32,1)))),((1-Inputs!$G$34)^(1/12))^(L$2-$B$2:L$2))*L76</f>
        <v>0</v>
      </c>
      <c r="M78" s="77">
        <f>SUMPRODUCT($B68:M68,((((M$2-$B$2:M$2)-Inputs!$G$30)&lt;Inputs!$G$32)*(Inputs!$G$33&gt;((((M$2-$B$2:M$2)-Inputs!$G$30)&gt;0)*((M$2-$B$2:M$2)-Inputs!$G$30)/MAX(Inputs!$G$32,1)))*(Inputs!$G$33-((((M$2-$B$2:M$2)-Inputs!$G$30)&gt;0)*((M$2-$B$2:M$2)-Inputs!$G$30)/MAX(Inputs!$G$32,1)))),((1-Inputs!$G$34)^(1/12))^(M$2-$B$2:M$2))*M76</f>
        <v>0</v>
      </c>
      <c r="N78" s="77">
        <f>SUMPRODUCT($B68:N68,((((N$2-$B$2:N$2)-Inputs!$G$30)&lt;Inputs!$G$32)*(Inputs!$G$33&gt;((((N$2-$B$2:N$2)-Inputs!$G$30)&gt;0)*((N$2-$B$2:N$2)-Inputs!$G$30)/MAX(Inputs!$G$32,1)))*(Inputs!$G$33-((((N$2-$B$2:N$2)-Inputs!$G$30)&gt;0)*((N$2-$B$2:N$2)-Inputs!$G$30)/MAX(Inputs!$G$32,1)))),((1-Inputs!$G$34)^(1/12))^(N$2-$B$2:N$2))*N76</f>
        <v>0</v>
      </c>
      <c r="O78" s="77">
        <f>SUMPRODUCT($B68:O68,((((O$2-$B$2:O$2)-Inputs!$G$30)&lt;Inputs!$G$32)*(Inputs!$G$33&gt;((((O$2-$B$2:O$2)-Inputs!$G$30)&gt;0)*((O$2-$B$2:O$2)-Inputs!$G$30)/MAX(Inputs!$G$32,1)))*(Inputs!$G$33-((((O$2-$B$2:O$2)-Inputs!$G$30)&gt;0)*((O$2-$B$2:O$2)-Inputs!$G$30)/MAX(Inputs!$G$32,1)))),((1-Inputs!$G$34)^(1/12))^(O$2-$B$2:O$2))*O76</f>
        <v>0</v>
      </c>
      <c r="P78" s="77">
        <f>SUMPRODUCT($B68:P68,((((P$2-$B$2:P$2)-Inputs!$G$30)&lt;Inputs!$G$32)*(Inputs!$G$33&gt;((((P$2-$B$2:P$2)-Inputs!$G$30)&gt;0)*((P$2-$B$2:P$2)-Inputs!$G$30)/MAX(Inputs!$G$32,1)))*(Inputs!$G$33-((((P$2-$B$2:P$2)-Inputs!$G$30)&gt;0)*((P$2-$B$2:P$2)-Inputs!$G$30)/MAX(Inputs!$G$32,1)))),((1-Inputs!$G$34)^(1/12))^(P$2-$B$2:P$2))*P76</f>
        <v>0</v>
      </c>
      <c r="Q78" s="77">
        <f>SUMPRODUCT($B68:Q68,((((Q$2-$B$2:Q$2)-Inputs!$G$30)&lt;Inputs!$G$32)*(Inputs!$G$33&gt;((((Q$2-$B$2:Q$2)-Inputs!$G$30)&gt;0)*((Q$2-$B$2:Q$2)-Inputs!$G$30)/MAX(Inputs!$G$32,1)))*(Inputs!$G$33-((((Q$2-$B$2:Q$2)-Inputs!$G$30)&gt;0)*((Q$2-$B$2:Q$2)-Inputs!$G$30)/MAX(Inputs!$G$32,1)))),((1-Inputs!$G$34)^(1/12))^(Q$2-$B$2:Q$2))*Q76</f>
        <v>0</v>
      </c>
      <c r="R78" s="77">
        <f>SUMPRODUCT($B68:R68,((((R$2-$B$2:R$2)-Inputs!$G$30)&lt;Inputs!$G$32)*(Inputs!$G$33&gt;((((R$2-$B$2:R$2)-Inputs!$G$30)&gt;0)*((R$2-$B$2:R$2)-Inputs!$G$30)/MAX(Inputs!$G$32,1)))*(Inputs!$G$33-((((R$2-$B$2:R$2)-Inputs!$G$30)&gt;0)*((R$2-$B$2:R$2)-Inputs!$G$30)/MAX(Inputs!$G$32,1)))),((1-Inputs!$G$34)^(1/12))^(R$2-$B$2:R$2))*R76</f>
        <v>0</v>
      </c>
      <c r="S78" s="77">
        <f>SUMPRODUCT($B68:S68,((((S$2-$B$2:S$2)-Inputs!$G$30)&lt;Inputs!$G$32)*(Inputs!$G$33&gt;((((S$2-$B$2:S$2)-Inputs!$G$30)&gt;0)*((S$2-$B$2:S$2)-Inputs!$G$30)/MAX(Inputs!$G$32,1)))*(Inputs!$G$33-((((S$2-$B$2:S$2)-Inputs!$G$30)&gt;0)*((S$2-$B$2:S$2)-Inputs!$G$30)/MAX(Inputs!$G$32,1)))),((1-Inputs!$G$34)^(1/12))^(S$2-$B$2:S$2))*S76</f>
        <v>0</v>
      </c>
      <c r="T78" s="77">
        <f>SUMPRODUCT($B68:T68,((((T$2-$B$2:T$2)-Inputs!$G$30)&lt;Inputs!$G$32)*(Inputs!$G$33&gt;((((T$2-$B$2:T$2)-Inputs!$G$30)&gt;0)*((T$2-$B$2:T$2)-Inputs!$G$30)/MAX(Inputs!$G$32,1)))*(Inputs!$G$33-((((T$2-$B$2:T$2)-Inputs!$G$30)&gt;0)*((T$2-$B$2:T$2)-Inputs!$G$30)/MAX(Inputs!$G$32,1)))),((1-Inputs!$G$34)^(1/12))^(T$2-$B$2:T$2))*T76</f>
        <v>0</v>
      </c>
      <c r="U78" s="77">
        <f>SUMPRODUCT($B68:U68,((((U$2-$B$2:U$2)-Inputs!$G$30)&lt;Inputs!$G$32)*(Inputs!$G$33&gt;((((U$2-$B$2:U$2)-Inputs!$G$30)&gt;0)*((U$2-$B$2:U$2)-Inputs!$G$30)/MAX(Inputs!$G$32,1)))*(Inputs!$G$33-((((U$2-$B$2:U$2)-Inputs!$G$30)&gt;0)*((U$2-$B$2:U$2)-Inputs!$G$30)/MAX(Inputs!$G$32,1)))),((1-Inputs!$G$34)^(1/12))^(U$2-$B$2:U$2))*U76</f>
        <v>0</v>
      </c>
      <c r="V78" s="77">
        <f>SUMPRODUCT($B68:V68,((((V$2-$B$2:V$2)-Inputs!$G$30)&lt;Inputs!$G$32)*(Inputs!$G$33&gt;((((V$2-$B$2:V$2)-Inputs!$G$30)&gt;0)*((V$2-$B$2:V$2)-Inputs!$G$30)/MAX(Inputs!$G$32,1)))*(Inputs!$G$33-((((V$2-$B$2:V$2)-Inputs!$G$30)&gt;0)*((V$2-$B$2:V$2)-Inputs!$G$30)/MAX(Inputs!$G$32,1)))),((1-Inputs!$G$34)^(1/12))^(V$2-$B$2:V$2))*V76</f>
        <v>0</v>
      </c>
      <c r="W78" s="77">
        <f>SUMPRODUCT($B68:W68,((((W$2-$B$2:W$2)-Inputs!$G$30)&lt;Inputs!$G$32)*(Inputs!$G$33&gt;((((W$2-$B$2:W$2)-Inputs!$G$30)&gt;0)*((W$2-$B$2:W$2)-Inputs!$G$30)/MAX(Inputs!$G$32,1)))*(Inputs!$G$33-((((W$2-$B$2:W$2)-Inputs!$G$30)&gt;0)*((W$2-$B$2:W$2)-Inputs!$G$30)/MAX(Inputs!$G$32,1)))),((1-Inputs!$G$34)^(1/12))^(W$2-$B$2:W$2))*W76</f>
        <v>0</v>
      </c>
      <c r="X78" s="77">
        <f>SUMPRODUCT($B68:X68,((((X$2-$B$2:X$2)-Inputs!$G$30)&lt;Inputs!$G$32)*(Inputs!$G$33&gt;((((X$2-$B$2:X$2)-Inputs!$G$30)&gt;0)*((X$2-$B$2:X$2)-Inputs!$G$30)/MAX(Inputs!$G$32,1)))*(Inputs!$G$33-((((X$2-$B$2:X$2)-Inputs!$G$30)&gt;0)*((X$2-$B$2:X$2)-Inputs!$G$30)/MAX(Inputs!$G$32,1)))),((1-Inputs!$G$34)^(1/12))^(X$2-$B$2:X$2))*X76</f>
        <v>0</v>
      </c>
      <c r="Y78" s="77">
        <f>SUMPRODUCT($B68:Y68,((((Y$2-$B$2:Y$2)-Inputs!$G$30)&lt;Inputs!$G$32)*(Inputs!$G$33&gt;((((Y$2-$B$2:Y$2)-Inputs!$G$30)&gt;0)*((Y$2-$B$2:Y$2)-Inputs!$G$30)/MAX(Inputs!$G$32,1)))*(Inputs!$G$33-((((Y$2-$B$2:Y$2)-Inputs!$G$30)&gt;0)*((Y$2-$B$2:Y$2)-Inputs!$G$30)/MAX(Inputs!$G$32,1)))),((1-Inputs!$G$34)^(1/12))^(Y$2-$B$2:Y$2))*Y76</f>
        <v>0</v>
      </c>
      <c r="Z78" s="78">
        <f t="shared" si="23"/>
        <v>0</v>
      </c>
      <c r="AA78" s="78">
        <f t="shared" si="24"/>
        <v>0</v>
      </c>
    </row>
    <row r="79">
      <c r="A79" s="3"/>
      <c r="Z79" s="51"/>
      <c r="AA79" s="51"/>
    </row>
    <row r="80">
      <c r="A80" s="4" t="s">
        <v>315</v>
      </c>
      <c r="B80" s="46"/>
      <c r="C80" s="46"/>
      <c r="D80" s="46"/>
      <c r="E80" s="46"/>
      <c r="F80" s="46"/>
      <c r="G80" s="46"/>
      <c r="H80" s="46"/>
      <c r="I80" s="46"/>
      <c r="J80" s="46"/>
      <c r="K80" s="46"/>
      <c r="L80" s="46"/>
      <c r="M80" s="46"/>
      <c r="N80" s="46"/>
      <c r="O80" s="46"/>
      <c r="P80" s="46"/>
      <c r="Q80" s="46"/>
      <c r="R80" s="46"/>
      <c r="S80" s="46"/>
      <c r="T80" s="46"/>
      <c r="U80" s="46"/>
      <c r="V80" s="46"/>
      <c r="W80" s="46"/>
      <c r="X80" s="46"/>
      <c r="Y80" s="46"/>
      <c r="Z80" s="46"/>
      <c r="AA80" s="46"/>
    </row>
    <row r="81">
      <c r="A81" s="6" t="s">
        <v>363</v>
      </c>
      <c r="B81" s="73">
        <f t="shared" ref="B81:Y81" si="25">SUM(B7,B32,B57)</f>
        <v>6</v>
      </c>
      <c r="C81" s="73">
        <f t="shared" si="25"/>
        <v>0</v>
      </c>
      <c r="D81" s="73">
        <f t="shared" si="25"/>
        <v>0</v>
      </c>
      <c r="E81" s="73">
        <f t="shared" si="25"/>
        <v>2</v>
      </c>
      <c r="F81" s="73">
        <f t="shared" si="25"/>
        <v>0</v>
      </c>
      <c r="G81" s="73">
        <f t="shared" si="25"/>
        <v>0</v>
      </c>
      <c r="H81" s="73">
        <f t="shared" si="25"/>
        <v>0</v>
      </c>
      <c r="I81" s="73">
        <f t="shared" si="25"/>
        <v>0</v>
      </c>
      <c r="J81" s="73">
        <f t="shared" si="25"/>
        <v>0</v>
      </c>
      <c r="K81" s="73">
        <f t="shared" si="25"/>
        <v>0</v>
      </c>
      <c r="L81" s="73">
        <f t="shared" si="25"/>
        <v>0</v>
      </c>
      <c r="M81" s="73">
        <f t="shared" si="25"/>
        <v>0</v>
      </c>
      <c r="N81" s="73">
        <f t="shared" si="25"/>
        <v>5</v>
      </c>
      <c r="O81" s="73">
        <f t="shared" si="25"/>
        <v>0</v>
      </c>
      <c r="P81" s="73">
        <f t="shared" si="25"/>
        <v>0</v>
      </c>
      <c r="Q81" s="73">
        <f t="shared" si="25"/>
        <v>0</v>
      </c>
      <c r="R81" s="73">
        <f t="shared" si="25"/>
        <v>0</v>
      </c>
      <c r="S81" s="73">
        <f t="shared" si="25"/>
        <v>0</v>
      </c>
      <c r="T81" s="73">
        <f t="shared" si="25"/>
        <v>0</v>
      </c>
      <c r="U81" s="73">
        <f t="shared" si="25"/>
        <v>0</v>
      </c>
      <c r="V81" s="73">
        <f t="shared" si="25"/>
        <v>0</v>
      </c>
      <c r="W81" s="73">
        <f t="shared" si="25"/>
        <v>0</v>
      </c>
      <c r="X81" s="73">
        <f t="shared" si="25"/>
        <v>0</v>
      </c>
      <c r="Y81" s="73">
        <f t="shared" si="25"/>
        <v>0</v>
      </c>
      <c r="Z81" s="72">
        <f>SUM(B81:M81)</f>
        <v>8</v>
      </c>
      <c r="AA81" s="72">
        <f>SUM(N81:Y81)</f>
        <v>5</v>
      </c>
    </row>
    <row r="82">
      <c r="A82" s="6" t="s">
        <v>364</v>
      </c>
      <c r="B82" s="75">
        <f t="shared" ref="B82:Y82" si="26">SUM(B10,B35,B60)</f>
        <v>13.84083116</v>
      </c>
      <c r="C82" s="75">
        <f t="shared" si="26"/>
        <v>13.54105121</v>
      </c>
      <c r="D82" s="75">
        <f t="shared" si="26"/>
        <v>13.2484185</v>
      </c>
      <c r="E82" s="75">
        <f t="shared" si="26"/>
        <v>14.9627496</v>
      </c>
      <c r="F82" s="75">
        <f t="shared" si="26"/>
        <v>14.62529494</v>
      </c>
      <c r="G82" s="75">
        <f t="shared" si="26"/>
        <v>14.29616719</v>
      </c>
      <c r="H82" s="75">
        <f t="shared" si="26"/>
        <v>13.9751471</v>
      </c>
      <c r="I82" s="75">
        <f t="shared" si="26"/>
        <v>13.66202147</v>
      </c>
      <c r="J82" s="75">
        <f t="shared" si="26"/>
        <v>13.35658292</v>
      </c>
      <c r="K82" s="75">
        <f t="shared" si="26"/>
        <v>13.05862978</v>
      </c>
      <c r="L82" s="75">
        <f t="shared" si="26"/>
        <v>12.7679659</v>
      </c>
      <c r="M82" s="75">
        <f t="shared" si="26"/>
        <v>12.48440049</v>
      </c>
      <c r="N82" s="75">
        <f t="shared" si="26"/>
        <v>17.207748</v>
      </c>
      <c r="O82" s="75">
        <f t="shared" si="26"/>
        <v>16.82398647</v>
      </c>
      <c r="P82" s="75">
        <f t="shared" si="26"/>
        <v>16.44951537</v>
      </c>
      <c r="Q82" s="75">
        <f t="shared" si="26"/>
        <v>16.08409494</v>
      </c>
      <c r="R82" s="75">
        <f t="shared" si="26"/>
        <v>15.7274919</v>
      </c>
      <c r="S82" s="75">
        <f t="shared" si="26"/>
        <v>15.37947925</v>
      </c>
      <c r="T82" s="75">
        <f t="shared" si="26"/>
        <v>15.03983614</v>
      </c>
      <c r="U82" s="75">
        <f t="shared" si="26"/>
        <v>14.70834762</v>
      </c>
      <c r="V82" s="75">
        <f t="shared" si="26"/>
        <v>14.38480458</v>
      </c>
      <c r="W82" s="75">
        <f t="shared" si="26"/>
        <v>14.06900348</v>
      </c>
      <c r="X82" s="75">
        <f t="shared" si="26"/>
        <v>13.76074629</v>
      </c>
      <c r="Y82" s="75">
        <f t="shared" si="26"/>
        <v>13.45984027</v>
      </c>
      <c r="Z82" s="76">
        <f t="shared" ref="Z82:Z83" si="28">M82</f>
        <v>12.48440049</v>
      </c>
      <c r="AA82" s="76">
        <f t="shared" ref="AA82:AA83" si="29">Y82</f>
        <v>13.45984027</v>
      </c>
    </row>
    <row r="83">
      <c r="A83" s="6" t="s">
        <v>365</v>
      </c>
      <c r="B83" s="75">
        <f t="shared" ref="B83:Y83" si="27">SUM(B13,B38,B63)</f>
        <v>7.840831165</v>
      </c>
      <c r="C83" s="75">
        <f t="shared" si="27"/>
        <v>7.685097221</v>
      </c>
      <c r="D83" s="75">
        <f t="shared" si="27"/>
        <v>9.417291216</v>
      </c>
      <c r="E83" s="75">
        <f t="shared" si="27"/>
        <v>11.04238042</v>
      </c>
      <c r="F83" s="75">
        <f t="shared" si="27"/>
        <v>10.78932953</v>
      </c>
      <c r="G83" s="75">
        <f t="shared" si="27"/>
        <v>11.48482934</v>
      </c>
      <c r="H83" s="75">
        <f t="shared" si="27"/>
        <v>12.13123821</v>
      </c>
      <c r="I83" s="75">
        <f t="shared" si="27"/>
        <v>12.29769292</v>
      </c>
      <c r="J83" s="75">
        <f t="shared" si="27"/>
        <v>12.45926581</v>
      </c>
      <c r="K83" s="75">
        <f t="shared" si="27"/>
        <v>12.61600655</v>
      </c>
      <c r="L83" s="75">
        <f t="shared" si="27"/>
        <v>12.7679659</v>
      </c>
      <c r="M83" s="75">
        <f t="shared" si="27"/>
        <v>12.48440049</v>
      </c>
      <c r="N83" s="75">
        <f t="shared" si="27"/>
        <v>12.207748</v>
      </c>
      <c r="O83" s="75">
        <f t="shared" si="27"/>
        <v>11.93782794</v>
      </c>
      <c r="P83" s="75">
        <f t="shared" si="27"/>
        <v>12.61675134</v>
      </c>
      <c r="Q83" s="75">
        <f t="shared" si="27"/>
        <v>13.24687011</v>
      </c>
      <c r="R83" s="75">
        <f t="shared" si="27"/>
        <v>13.87085637</v>
      </c>
      <c r="S83" s="75">
        <f t="shared" si="27"/>
        <v>14.46826432</v>
      </c>
      <c r="T83" s="75">
        <f t="shared" si="27"/>
        <v>15.03983614</v>
      </c>
      <c r="U83" s="75">
        <f t="shared" si="27"/>
        <v>14.70834762</v>
      </c>
      <c r="V83" s="75">
        <f t="shared" si="27"/>
        <v>14.38480458</v>
      </c>
      <c r="W83" s="75">
        <f t="shared" si="27"/>
        <v>14.06900348</v>
      </c>
      <c r="X83" s="75">
        <f t="shared" si="27"/>
        <v>13.76074629</v>
      </c>
      <c r="Y83" s="75">
        <f t="shared" si="27"/>
        <v>13.45984027</v>
      </c>
      <c r="Z83" s="76">
        <f t="shared" si="28"/>
        <v>12.48440049</v>
      </c>
      <c r="AA83" s="76">
        <f t="shared" si="29"/>
        <v>13.45984027</v>
      </c>
    </row>
    <row r="84">
      <c r="A84" s="12" t="s">
        <v>366</v>
      </c>
      <c r="B84" s="71">
        <f t="shared" ref="B84:Y84" si="30">SUM(B15,B40,B65)</f>
        <v>403540.6858</v>
      </c>
      <c r="C84" s="71">
        <f t="shared" si="30"/>
        <v>396112.9646</v>
      </c>
      <c r="D84" s="71">
        <f t="shared" si="30"/>
        <v>453964.3829</v>
      </c>
      <c r="E84" s="71">
        <f t="shared" si="30"/>
        <v>508146.0855</v>
      </c>
      <c r="F84" s="71">
        <f t="shared" si="30"/>
        <v>497450.5767</v>
      </c>
      <c r="G84" s="71">
        <f t="shared" si="30"/>
        <v>519567.7833</v>
      </c>
      <c r="H84" s="71">
        <f t="shared" si="30"/>
        <v>540018.712</v>
      </c>
      <c r="I84" s="71">
        <f t="shared" si="30"/>
        <v>562303.3879</v>
      </c>
      <c r="J84" s="71">
        <f t="shared" si="30"/>
        <v>583953.8866</v>
      </c>
      <c r="K84" s="71">
        <f t="shared" si="30"/>
        <v>604981.435</v>
      </c>
      <c r="L84" s="71">
        <f t="shared" si="30"/>
        <v>625397.1249</v>
      </c>
      <c r="M84" s="71">
        <f t="shared" si="30"/>
        <v>612902.2854</v>
      </c>
      <c r="N84" s="71">
        <f t="shared" si="30"/>
        <v>600686.6199</v>
      </c>
      <c r="O84" s="71">
        <f t="shared" si="30"/>
        <v>588743.2754</v>
      </c>
      <c r="P84" s="71">
        <f t="shared" si="30"/>
        <v>609631.0028</v>
      </c>
      <c r="Q84" s="71">
        <f t="shared" si="30"/>
        <v>628870.4886</v>
      </c>
      <c r="R84" s="71">
        <f t="shared" si="30"/>
        <v>660412.4837</v>
      </c>
      <c r="S84" s="71">
        <f t="shared" si="30"/>
        <v>690613.4896</v>
      </c>
      <c r="T84" s="71">
        <f t="shared" si="30"/>
        <v>719511.2907</v>
      </c>
      <c r="U84" s="71">
        <f t="shared" si="30"/>
        <v>705001.2207</v>
      </c>
      <c r="V84" s="71">
        <f t="shared" si="30"/>
        <v>690813.5875</v>
      </c>
      <c r="W84" s="71">
        <f t="shared" si="30"/>
        <v>676940.5894</v>
      </c>
      <c r="X84" s="71">
        <f t="shared" si="30"/>
        <v>663374.6265</v>
      </c>
      <c r="Y84" s="71">
        <f t="shared" si="30"/>
        <v>650108.2947</v>
      </c>
      <c r="Z84" s="71">
        <f t="shared" ref="Z84:Z86" si="32">SUM(B84:M84)</f>
        <v>6308339.311</v>
      </c>
      <c r="AA84" s="71">
        <f t="shared" ref="AA84:AA86" si="33">SUM(N84:Y84)</f>
        <v>7884706.969</v>
      </c>
    </row>
    <row r="85">
      <c r="A85" s="6" t="s">
        <v>367</v>
      </c>
      <c r="B85" s="73">
        <f t="shared" ref="B85:Y85" si="31">SUM(B18,B43,B68)</f>
        <v>6</v>
      </c>
      <c r="C85" s="73">
        <f t="shared" si="31"/>
        <v>0</v>
      </c>
      <c r="D85" s="73">
        <f t="shared" si="31"/>
        <v>0</v>
      </c>
      <c r="E85" s="73">
        <f t="shared" si="31"/>
        <v>2</v>
      </c>
      <c r="F85" s="73">
        <f t="shared" si="31"/>
        <v>0</v>
      </c>
      <c r="G85" s="73">
        <f t="shared" si="31"/>
        <v>0</v>
      </c>
      <c r="H85" s="73">
        <f t="shared" si="31"/>
        <v>0</v>
      </c>
      <c r="I85" s="73">
        <f t="shared" si="31"/>
        <v>0</v>
      </c>
      <c r="J85" s="73">
        <f t="shared" si="31"/>
        <v>0</v>
      </c>
      <c r="K85" s="73">
        <f t="shared" si="31"/>
        <v>0</v>
      </c>
      <c r="L85" s="73">
        <f t="shared" si="31"/>
        <v>0</v>
      </c>
      <c r="M85" s="73">
        <f t="shared" si="31"/>
        <v>0</v>
      </c>
      <c r="N85" s="73">
        <f t="shared" si="31"/>
        <v>5</v>
      </c>
      <c r="O85" s="73">
        <f t="shared" si="31"/>
        <v>0</v>
      </c>
      <c r="P85" s="73">
        <f t="shared" si="31"/>
        <v>0</v>
      </c>
      <c r="Q85" s="73">
        <f t="shared" si="31"/>
        <v>0</v>
      </c>
      <c r="R85" s="73">
        <f t="shared" si="31"/>
        <v>0</v>
      </c>
      <c r="S85" s="73">
        <f t="shared" si="31"/>
        <v>0</v>
      </c>
      <c r="T85" s="73">
        <f t="shared" si="31"/>
        <v>0</v>
      </c>
      <c r="U85" s="73">
        <f t="shared" si="31"/>
        <v>0</v>
      </c>
      <c r="V85" s="73">
        <f t="shared" si="31"/>
        <v>0</v>
      </c>
      <c r="W85" s="73">
        <f t="shared" si="31"/>
        <v>0</v>
      </c>
      <c r="X85" s="73">
        <f t="shared" si="31"/>
        <v>0</v>
      </c>
      <c r="Y85" s="73">
        <f t="shared" si="31"/>
        <v>0</v>
      </c>
      <c r="Z85" s="72">
        <f t="shared" si="32"/>
        <v>8</v>
      </c>
      <c r="AA85" s="72">
        <f t="shared" si="33"/>
        <v>5</v>
      </c>
    </row>
    <row r="86">
      <c r="A86" s="6" t="s">
        <v>368</v>
      </c>
      <c r="B86" s="75">
        <f t="shared" ref="B86:Y86" si="34">SUM(B20,B45,B70)</f>
        <v>0.1591688353</v>
      </c>
      <c r="C86" s="75">
        <f t="shared" si="34"/>
        <v>0.2997799595</v>
      </c>
      <c r="D86" s="75">
        <f t="shared" si="34"/>
        <v>0.2926327041</v>
      </c>
      <c r="E86" s="75">
        <f t="shared" si="34"/>
        <v>0.2856689007</v>
      </c>
      <c r="F86" s="75">
        <f t="shared" si="34"/>
        <v>0.3374546572</v>
      </c>
      <c r="G86" s="75">
        <f t="shared" si="34"/>
        <v>0.3291277531</v>
      </c>
      <c r="H86" s="75">
        <f t="shared" si="34"/>
        <v>0.3210200861</v>
      </c>
      <c r="I86" s="75">
        <f t="shared" si="34"/>
        <v>0.3131256352</v>
      </c>
      <c r="J86" s="75">
        <f t="shared" si="34"/>
        <v>0.3054385487</v>
      </c>
      <c r="K86" s="75">
        <f t="shared" si="34"/>
        <v>0.2979531401</v>
      </c>
      <c r="L86" s="75">
        <f t="shared" si="34"/>
        <v>0.2906638827</v>
      </c>
      <c r="M86" s="75">
        <f t="shared" si="34"/>
        <v>0.2835654057</v>
      </c>
      <c r="N86" s="75">
        <f t="shared" si="34"/>
        <v>0.2766524891</v>
      </c>
      <c r="O86" s="75">
        <f t="shared" si="34"/>
        <v>0.383761531</v>
      </c>
      <c r="P86" s="75">
        <f t="shared" si="34"/>
        <v>0.3744711014</v>
      </c>
      <c r="Q86" s="75">
        <f t="shared" si="34"/>
        <v>0.3654204298</v>
      </c>
      <c r="R86" s="75">
        <f t="shared" si="34"/>
        <v>0.356603042</v>
      </c>
      <c r="S86" s="75">
        <f t="shared" si="34"/>
        <v>0.3480126442</v>
      </c>
      <c r="T86" s="75">
        <f t="shared" si="34"/>
        <v>0.3396431173</v>
      </c>
      <c r="U86" s="75">
        <f t="shared" si="34"/>
        <v>0.3314885125</v>
      </c>
      <c r="V86" s="75">
        <f t="shared" si="34"/>
        <v>0.3235430462</v>
      </c>
      <c r="W86" s="75">
        <f t="shared" si="34"/>
        <v>0.3158010955</v>
      </c>
      <c r="X86" s="75">
        <f t="shared" si="34"/>
        <v>0.3082571933</v>
      </c>
      <c r="Y86" s="75">
        <f t="shared" si="34"/>
        <v>0.3009060243</v>
      </c>
      <c r="Z86" s="76">
        <f t="shared" si="32"/>
        <v>3.515599508</v>
      </c>
      <c r="AA86" s="76">
        <f t="shared" si="33"/>
        <v>4.024560226</v>
      </c>
    </row>
    <row r="87">
      <c r="A87" s="6" t="s">
        <v>369</v>
      </c>
      <c r="B87" s="75">
        <f t="shared" ref="B87:Y87" si="35">SUM(B21,B46,B71)</f>
        <v>13.84083116</v>
      </c>
      <c r="C87" s="75">
        <f t="shared" si="35"/>
        <v>13.54105121</v>
      </c>
      <c r="D87" s="75">
        <f t="shared" si="35"/>
        <v>13.2484185</v>
      </c>
      <c r="E87" s="75">
        <f t="shared" si="35"/>
        <v>14.9627496</v>
      </c>
      <c r="F87" s="75">
        <f t="shared" si="35"/>
        <v>14.62529494</v>
      </c>
      <c r="G87" s="75">
        <f t="shared" si="35"/>
        <v>14.29616719</v>
      </c>
      <c r="H87" s="75">
        <f t="shared" si="35"/>
        <v>13.9751471</v>
      </c>
      <c r="I87" s="75">
        <f t="shared" si="35"/>
        <v>13.66202147</v>
      </c>
      <c r="J87" s="75">
        <f t="shared" si="35"/>
        <v>13.35658292</v>
      </c>
      <c r="K87" s="75">
        <f t="shared" si="35"/>
        <v>13.05862978</v>
      </c>
      <c r="L87" s="75">
        <f t="shared" si="35"/>
        <v>12.7679659</v>
      </c>
      <c r="M87" s="75">
        <f t="shared" si="35"/>
        <v>12.48440049</v>
      </c>
      <c r="N87" s="75">
        <f t="shared" si="35"/>
        <v>17.207748</v>
      </c>
      <c r="O87" s="75">
        <f t="shared" si="35"/>
        <v>16.82398647</v>
      </c>
      <c r="P87" s="75">
        <f t="shared" si="35"/>
        <v>16.44951537</v>
      </c>
      <c r="Q87" s="75">
        <f t="shared" si="35"/>
        <v>16.08409494</v>
      </c>
      <c r="R87" s="75">
        <f t="shared" si="35"/>
        <v>15.7274919</v>
      </c>
      <c r="S87" s="75">
        <f t="shared" si="35"/>
        <v>15.37947925</v>
      </c>
      <c r="T87" s="75">
        <f t="shared" si="35"/>
        <v>15.03983614</v>
      </c>
      <c r="U87" s="75">
        <f t="shared" si="35"/>
        <v>14.70834762</v>
      </c>
      <c r="V87" s="75">
        <f t="shared" si="35"/>
        <v>14.38480458</v>
      </c>
      <c r="W87" s="75">
        <f t="shared" si="35"/>
        <v>14.06900348</v>
      </c>
      <c r="X87" s="75">
        <f t="shared" si="35"/>
        <v>13.76074629</v>
      </c>
      <c r="Y87" s="75">
        <f t="shared" si="35"/>
        <v>13.45984027</v>
      </c>
      <c r="Z87" s="76">
        <f t="shared" ref="Z87:Z89" si="37">M87</f>
        <v>12.48440049</v>
      </c>
      <c r="AA87" s="76">
        <f t="shared" ref="AA87:AA89" si="38">Y87</f>
        <v>13.45984027</v>
      </c>
    </row>
    <row r="88">
      <c r="A88" s="6" t="s">
        <v>370</v>
      </c>
      <c r="B88" s="75">
        <f t="shared" ref="B88:Y88" si="36">SUM(B23,B48,B73)</f>
        <v>7.840831165</v>
      </c>
      <c r="C88" s="75">
        <f t="shared" si="36"/>
        <v>10.11980019</v>
      </c>
      <c r="D88" s="75">
        <f t="shared" si="36"/>
        <v>12.27514144</v>
      </c>
      <c r="E88" s="75">
        <f t="shared" si="36"/>
        <v>12.48265731</v>
      </c>
      <c r="F88" s="75">
        <f t="shared" si="36"/>
        <v>13.65458047</v>
      </c>
      <c r="G88" s="75">
        <f t="shared" si="36"/>
        <v>14.29616719</v>
      </c>
      <c r="H88" s="75">
        <f t="shared" si="36"/>
        <v>13.9751471</v>
      </c>
      <c r="I88" s="75">
        <f t="shared" si="36"/>
        <v>13.66202147</v>
      </c>
      <c r="J88" s="75">
        <f t="shared" si="36"/>
        <v>13.35658292</v>
      </c>
      <c r="K88" s="75">
        <f t="shared" si="36"/>
        <v>13.05862978</v>
      </c>
      <c r="L88" s="75">
        <f t="shared" si="36"/>
        <v>12.7679659</v>
      </c>
      <c r="M88" s="75">
        <f t="shared" si="36"/>
        <v>12.48440049</v>
      </c>
      <c r="N88" s="75">
        <f t="shared" si="36"/>
        <v>12.207748</v>
      </c>
      <c r="O88" s="75">
        <f t="shared" si="36"/>
        <v>13.89011894</v>
      </c>
      <c r="P88" s="75">
        <f t="shared" si="36"/>
        <v>15.48602289</v>
      </c>
      <c r="Q88" s="75">
        <f t="shared" si="36"/>
        <v>16.08409494</v>
      </c>
      <c r="R88" s="75">
        <f t="shared" si="36"/>
        <v>15.7274919</v>
      </c>
      <c r="S88" s="75">
        <f t="shared" si="36"/>
        <v>15.37947925</v>
      </c>
      <c r="T88" s="75">
        <f t="shared" si="36"/>
        <v>15.03983614</v>
      </c>
      <c r="U88" s="75">
        <f t="shared" si="36"/>
        <v>14.70834762</v>
      </c>
      <c r="V88" s="75">
        <f t="shared" si="36"/>
        <v>14.38480458</v>
      </c>
      <c r="W88" s="75">
        <f t="shared" si="36"/>
        <v>14.06900348</v>
      </c>
      <c r="X88" s="75">
        <f t="shared" si="36"/>
        <v>13.76074629</v>
      </c>
      <c r="Y88" s="75">
        <f t="shared" si="36"/>
        <v>13.45984027</v>
      </c>
      <c r="Z88" s="76">
        <f t="shared" si="37"/>
        <v>12.48440049</v>
      </c>
      <c r="AA88" s="76">
        <f t="shared" si="38"/>
        <v>13.45984027</v>
      </c>
    </row>
    <row r="89">
      <c r="A89" s="6" t="s">
        <v>371</v>
      </c>
      <c r="B89" s="75">
        <f t="shared" ref="B89:Y89" si="39">SUM(B25,B50,B75)</f>
        <v>7.840831165</v>
      </c>
      <c r="C89" s="75">
        <f t="shared" si="39"/>
        <v>7.685097221</v>
      </c>
      <c r="D89" s="75">
        <f t="shared" si="39"/>
        <v>9.417291216</v>
      </c>
      <c r="E89" s="75">
        <f t="shared" si="39"/>
        <v>11.04238042</v>
      </c>
      <c r="F89" s="75">
        <f t="shared" si="39"/>
        <v>10.78932953</v>
      </c>
      <c r="G89" s="75">
        <f t="shared" si="39"/>
        <v>11.48482934</v>
      </c>
      <c r="H89" s="75">
        <f t="shared" si="39"/>
        <v>12.13123821</v>
      </c>
      <c r="I89" s="75">
        <f t="shared" si="39"/>
        <v>12.29769292</v>
      </c>
      <c r="J89" s="75">
        <f t="shared" si="39"/>
        <v>12.45926581</v>
      </c>
      <c r="K89" s="75">
        <f t="shared" si="39"/>
        <v>12.61600655</v>
      </c>
      <c r="L89" s="75">
        <f t="shared" si="39"/>
        <v>12.7679659</v>
      </c>
      <c r="M89" s="75">
        <f t="shared" si="39"/>
        <v>12.48440049</v>
      </c>
      <c r="N89" s="75">
        <f t="shared" si="39"/>
        <v>12.207748</v>
      </c>
      <c r="O89" s="75">
        <f t="shared" si="39"/>
        <v>11.93782794</v>
      </c>
      <c r="P89" s="75">
        <f t="shared" si="39"/>
        <v>12.61675134</v>
      </c>
      <c r="Q89" s="75">
        <f t="shared" si="39"/>
        <v>13.24687011</v>
      </c>
      <c r="R89" s="75">
        <f t="shared" si="39"/>
        <v>13.87085637</v>
      </c>
      <c r="S89" s="75">
        <f t="shared" si="39"/>
        <v>14.46826432</v>
      </c>
      <c r="T89" s="75">
        <f t="shared" si="39"/>
        <v>15.03983614</v>
      </c>
      <c r="U89" s="75">
        <f t="shared" si="39"/>
        <v>14.70834762</v>
      </c>
      <c r="V89" s="75">
        <f t="shared" si="39"/>
        <v>14.38480458</v>
      </c>
      <c r="W89" s="75">
        <f t="shared" si="39"/>
        <v>14.06900348</v>
      </c>
      <c r="X89" s="75">
        <f t="shared" si="39"/>
        <v>13.76074629</v>
      </c>
      <c r="Y89" s="75">
        <f t="shared" si="39"/>
        <v>13.45984027</v>
      </c>
      <c r="Z89" s="76">
        <f t="shared" si="37"/>
        <v>12.48440049</v>
      </c>
      <c r="AA89" s="76">
        <f t="shared" si="38"/>
        <v>13.45984027</v>
      </c>
    </row>
    <row r="90">
      <c r="A90" s="79" t="s">
        <v>372</v>
      </c>
      <c r="B90" s="81">
        <f t="shared" ref="B90:Y90" si="40">SUM(B27,B52,B77)</f>
        <v>403540.6858</v>
      </c>
      <c r="C90" s="81">
        <f t="shared" si="40"/>
        <v>396112.9646</v>
      </c>
      <c r="D90" s="81">
        <f t="shared" si="40"/>
        <v>453964.3829</v>
      </c>
      <c r="E90" s="81">
        <f t="shared" si="40"/>
        <v>508146.0855</v>
      </c>
      <c r="F90" s="81">
        <f t="shared" si="40"/>
        <v>497450.5767</v>
      </c>
      <c r="G90" s="81">
        <f t="shared" si="40"/>
        <v>519567.7833</v>
      </c>
      <c r="H90" s="81">
        <f t="shared" si="40"/>
        <v>540018.712</v>
      </c>
      <c r="I90" s="81">
        <f t="shared" si="40"/>
        <v>562303.3879</v>
      </c>
      <c r="J90" s="81">
        <f t="shared" si="40"/>
        <v>583953.8866</v>
      </c>
      <c r="K90" s="81">
        <f t="shared" si="40"/>
        <v>604981.435</v>
      </c>
      <c r="L90" s="81">
        <f t="shared" si="40"/>
        <v>625397.1249</v>
      </c>
      <c r="M90" s="81">
        <f t="shared" si="40"/>
        <v>612902.2854</v>
      </c>
      <c r="N90" s="81">
        <f t="shared" si="40"/>
        <v>600686.6199</v>
      </c>
      <c r="O90" s="81">
        <f t="shared" si="40"/>
        <v>588743.2754</v>
      </c>
      <c r="P90" s="81">
        <f t="shared" si="40"/>
        <v>609631.0028</v>
      </c>
      <c r="Q90" s="81">
        <f t="shared" si="40"/>
        <v>628870.4886</v>
      </c>
      <c r="R90" s="81">
        <f t="shared" si="40"/>
        <v>660412.4837</v>
      </c>
      <c r="S90" s="81">
        <f t="shared" si="40"/>
        <v>690613.4896</v>
      </c>
      <c r="T90" s="81">
        <f t="shared" si="40"/>
        <v>719511.2907</v>
      </c>
      <c r="U90" s="81">
        <f t="shared" si="40"/>
        <v>705001.2207</v>
      </c>
      <c r="V90" s="81">
        <f t="shared" si="40"/>
        <v>690813.5875</v>
      </c>
      <c r="W90" s="81">
        <f t="shared" si="40"/>
        <v>676940.5894</v>
      </c>
      <c r="X90" s="81">
        <f t="shared" si="40"/>
        <v>663374.6265</v>
      </c>
      <c r="Y90" s="81">
        <f t="shared" si="40"/>
        <v>650108.2947</v>
      </c>
      <c r="Z90" s="81">
        <f>SUM(B90:M90)</f>
        <v>6308339.311</v>
      </c>
      <c r="AA90" s="81">
        <f>SUM(N90:Y90)</f>
        <v>7884706.969</v>
      </c>
    </row>
    <row r="91">
      <c r="A91" s="3"/>
    </row>
    <row r="92">
      <c r="A92" s="4" t="s">
        <v>373</v>
      </c>
      <c r="B92" s="46"/>
      <c r="C92" s="46"/>
      <c r="D92" s="46"/>
      <c r="E92" s="46"/>
      <c r="F92" s="46"/>
      <c r="G92" s="46"/>
      <c r="H92" s="46"/>
      <c r="I92" s="46"/>
      <c r="J92" s="46"/>
      <c r="K92" s="46"/>
      <c r="L92" s="46"/>
      <c r="M92" s="46"/>
      <c r="N92" s="46"/>
      <c r="O92" s="46"/>
      <c r="P92" s="46"/>
      <c r="Q92" s="46"/>
      <c r="R92" s="46"/>
      <c r="S92" s="46"/>
      <c r="T92" s="46"/>
      <c r="U92" s="46"/>
      <c r="V92" s="46"/>
      <c r="W92" s="46"/>
      <c r="X92" s="46"/>
      <c r="Y92" s="46"/>
      <c r="Z92" s="46"/>
      <c r="AA92" s="46"/>
    </row>
    <row r="93">
      <c r="A93" s="6" t="s">
        <v>374</v>
      </c>
    </row>
    <row r="94">
      <c r="A94" s="6" t="s">
        <v>375</v>
      </c>
    </row>
    <row r="95">
      <c r="A95" s="6" t="s">
        <v>376</v>
      </c>
    </row>
    <row r="96">
      <c r="A96" s="6" t="s">
        <v>377</v>
      </c>
    </row>
    <row r="97">
      <c r="A97" s="6" t="s">
        <v>378</v>
      </c>
    </row>
    <row r="98">
      <c r="A98" s="6" t="s">
        <v>379</v>
      </c>
    </row>
    <row r="99">
      <c r="A99" s="6" t="s">
        <v>380</v>
      </c>
    </row>
    <row r="100">
      <c r="A100" s="6" t="s">
        <v>381</v>
      </c>
    </row>
    <row r="101">
      <c r="A101" s="6" t="s">
        <v>382</v>
      </c>
    </row>
    <row r="102">
      <c r="A102" s="6" t="s">
        <v>383</v>
      </c>
    </row>
  </sheetData>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ySplit="2.0" topLeftCell="B3" activePane="bottomRight" state="frozen"/>
      <selection activeCell="B1" sqref="B1" pane="topRight"/>
      <selection activeCell="A3" sqref="A3" pane="bottomLeft"/>
      <selection activeCell="B3" sqref="B3" pane="bottomRight"/>
    </sheetView>
  </sheetViews>
  <sheetFormatPr customHeight="1" defaultColWidth="14.43" defaultRowHeight="15.0" outlineLevelRow="1"/>
  <cols>
    <col customWidth="1" min="1" max="1" width="80.14"/>
    <col customWidth="1" min="2" max="27" width="14.43"/>
  </cols>
  <sheetData>
    <row r="1">
      <c r="A1" s="1" t="s">
        <v>384</v>
      </c>
    </row>
    <row r="2">
      <c r="A2" s="4" t="s">
        <v>294</v>
      </c>
      <c r="B2" s="67">
        <v>1.0</v>
      </c>
      <c r="C2" s="46">
        <f t="shared" ref="C2:Y2" si="1">B2+1</f>
        <v>2</v>
      </c>
      <c r="D2" s="46">
        <f t="shared" si="1"/>
        <v>3</v>
      </c>
      <c r="E2" s="46">
        <f t="shared" si="1"/>
        <v>4</v>
      </c>
      <c r="F2" s="46">
        <f t="shared" si="1"/>
        <v>5</v>
      </c>
      <c r="G2" s="46">
        <f t="shared" si="1"/>
        <v>6</v>
      </c>
      <c r="H2" s="46">
        <f t="shared" si="1"/>
        <v>7</v>
      </c>
      <c r="I2" s="46">
        <f t="shared" si="1"/>
        <v>8</v>
      </c>
      <c r="J2" s="46">
        <f t="shared" si="1"/>
        <v>9</v>
      </c>
      <c r="K2" s="46">
        <f t="shared" si="1"/>
        <v>10</v>
      </c>
      <c r="L2" s="46">
        <f t="shared" si="1"/>
        <v>11</v>
      </c>
      <c r="M2" s="46">
        <f t="shared" si="1"/>
        <v>12</v>
      </c>
      <c r="N2" s="46">
        <f t="shared" si="1"/>
        <v>13</v>
      </c>
      <c r="O2" s="46">
        <f t="shared" si="1"/>
        <v>14</v>
      </c>
      <c r="P2" s="46">
        <f t="shared" si="1"/>
        <v>15</v>
      </c>
      <c r="Q2" s="46">
        <f t="shared" si="1"/>
        <v>16</v>
      </c>
      <c r="R2" s="46">
        <f t="shared" si="1"/>
        <v>17</v>
      </c>
      <c r="S2" s="46">
        <f t="shared" si="1"/>
        <v>18</v>
      </c>
      <c r="T2" s="46">
        <f t="shared" si="1"/>
        <v>19</v>
      </c>
      <c r="U2" s="46">
        <f t="shared" si="1"/>
        <v>20</v>
      </c>
      <c r="V2" s="46">
        <f t="shared" si="1"/>
        <v>21</v>
      </c>
      <c r="W2" s="46">
        <f t="shared" si="1"/>
        <v>22</v>
      </c>
      <c r="X2" s="46">
        <f t="shared" si="1"/>
        <v>23</v>
      </c>
      <c r="Y2" s="46">
        <f t="shared" si="1"/>
        <v>24</v>
      </c>
      <c r="Z2" s="68" t="s">
        <v>119</v>
      </c>
      <c r="AA2" s="68" t="s">
        <v>120</v>
      </c>
    </row>
    <row r="3">
      <c r="A3" s="38" t="s">
        <v>295</v>
      </c>
      <c r="B3" s="69">
        <f t="shared" ref="B3:Y3" si="2">ROUNDUP(B$2/3,0)</f>
        <v>1</v>
      </c>
      <c r="C3" s="69">
        <f t="shared" si="2"/>
        <v>1</v>
      </c>
      <c r="D3" s="69">
        <f t="shared" si="2"/>
        <v>1</v>
      </c>
      <c r="E3" s="69">
        <f t="shared" si="2"/>
        <v>2</v>
      </c>
      <c r="F3" s="69">
        <f t="shared" si="2"/>
        <v>2</v>
      </c>
      <c r="G3" s="69">
        <f t="shared" si="2"/>
        <v>2</v>
      </c>
      <c r="H3" s="69">
        <f t="shared" si="2"/>
        <v>3</v>
      </c>
      <c r="I3" s="69">
        <f t="shared" si="2"/>
        <v>3</v>
      </c>
      <c r="J3" s="69">
        <f t="shared" si="2"/>
        <v>3</v>
      </c>
      <c r="K3" s="69">
        <f t="shared" si="2"/>
        <v>4</v>
      </c>
      <c r="L3" s="69">
        <f t="shared" si="2"/>
        <v>4</v>
      </c>
      <c r="M3" s="69">
        <f t="shared" si="2"/>
        <v>4</v>
      </c>
      <c r="N3" s="69">
        <f t="shared" si="2"/>
        <v>5</v>
      </c>
      <c r="O3" s="69">
        <f t="shared" si="2"/>
        <v>5</v>
      </c>
      <c r="P3" s="69">
        <f t="shared" si="2"/>
        <v>5</v>
      </c>
      <c r="Q3" s="69">
        <f t="shared" si="2"/>
        <v>6</v>
      </c>
      <c r="R3" s="69">
        <f t="shared" si="2"/>
        <v>6</v>
      </c>
      <c r="S3" s="69">
        <f t="shared" si="2"/>
        <v>6</v>
      </c>
      <c r="T3" s="69">
        <f t="shared" si="2"/>
        <v>7</v>
      </c>
      <c r="U3" s="69">
        <f t="shared" si="2"/>
        <v>7</v>
      </c>
      <c r="V3" s="69">
        <f t="shared" si="2"/>
        <v>7</v>
      </c>
      <c r="W3" s="69">
        <f t="shared" si="2"/>
        <v>8</v>
      </c>
      <c r="X3" s="69">
        <f t="shared" si="2"/>
        <v>8</v>
      </c>
      <c r="Y3" s="69">
        <f t="shared" si="2"/>
        <v>8</v>
      </c>
      <c r="Z3" s="69"/>
      <c r="AA3" s="69"/>
    </row>
    <row r="4">
      <c r="A4" s="38" t="s">
        <v>296</v>
      </c>
      <c r="B4" s="69">
        <f t="shared" ref="B4:Y4" si="3">ROUNDUP(B$2/12,0)</f>
        <v>1</v>
      </c>
      <c r="C4" s="69">
        <f t="shared" si="3"/>
        <v>1</v>
      </c>
      <c r="D4" s="69">
        <f t="shared" si="3"/>
        <v>1</v>
      </c>
      <c r="E4" s="69">
        <f t="shared" si="3"/>
        <v>1</v>
      </c>
      <c r="F4" s="69">
        <f t="shared" si="3"/>
        <v>1</v>
      </c>
      <c r="G4" s="69">
        <f t="shared" si="3"/>
        <v>1</v>
      </c>
      <c r="H4" s="69">
        <f t="shared" si="3"/>
        <v>1</v>
      </c>
      <c r="I4" s="69">
        <f t="shared" si="3"/>
        <v>1</v>
      </c>
      <c r="J4" s="69">
        <f t="shared" si="3"/>
        <v>1</v>
      </c>
      <c r="K4" s="69">
        <f t="shared" si="3"/>
        <v>1</v>
      </c>
      <c r="L4" s="69">
        <f t="shared" si="3"/>
        <v>1</v>
      </c>
      <c r="M4" s="69">
        <f t="shared" si="3"/>
        <v>1</v>
      </c>
      <c r="N4" s="69">
        <f t="shared" si="3"/>
        <v>2</v>
      </c>
      <c r="O4" s="69">
        <f t="shared" si="3"/>
        <v>2</v>
      </c>
      <c r="P4" s="69">
        <f t="shared" si="3"/>
        <v>2</v>
      </c>
      <c r="Q4" s="69">
        <f t="shared" si="3"/>
        <v>2</v>
      </c>
      <c r="R4" s="69">
        <f t="shared" si="3"/>
        <v>2</v>
      </c>
      <c r="S4" s="69">
        <f t="shared" si="3"/>
        <v>2</v>
      </c>
      <c r="T4" s="69">
        <f t="shared" si="3"/>
        <v>2</v>
      </c>
      <c r="U4" s="69">
        <f t="shared" si="3"/>
        <v>2</v>
      </c>
      <c r="V4" s="69">
        <f t="shared" si="3"/>
        <v>2</v>
      </c>
      <c r="W4" s="69">
        <f t="shared" si="3"/>
        <v>2</v>
      </c>
      <c r="X4" s="69">
        <f t="shared" si="3"/>
        <v>2</v>
      </c>
      <c r="Y4" s="69">
        <f t="shared" si="3"/>
        <v>2</v>
      </c>
      <c r="Z4" s="69"/>
      <c r="AA4" s="69"/>
    </row>
    <row r="5">
      <c r="A5" s="4" t="s">
        <v>385</v>
      </c>
      <c r="B5" s="46"/>
      <c r="C5" s="46"/>
      <c r="D5" s="46"/>
      <c r="E5" s="46"/>
      <c r="F5" s="46"/>
      <c r="G5" s="46"/>
      <c r="H5" s="46"/>
      <c r="I5" s="46"/>
      <c r="J5" s="46"/>
      <c r="K5" s="46"/>
      <c r="L5" s="46"/>
      <c r="M5" s="46"/>
      <c r="N5" s="46"/>
      <c r="O5" s="46"/>
      <c r="P5" s="46"/>
      <c r="Q5" s="46"/>
      <c r="R5" s="46"/>
      <c r="S5" s="46"/>
      <c r="T5" s="46"/>
      <c r="U5" s="46"/>
      <c r="V5" s="46"/>
      <c r="W5" s="46"/>
      <c r="X5" s="46"/>
      <c r="Y5" s="46"/>
      <c r="Z5" s="46"/>
      <c r="AA5" s="46"/>
    </row>
    <row r="6">
      <c r="A6" s="12" t="s">
        <v>295</v>
      </c>
      <c r="B6" s="82">
        <v>1.0</v>
      </c>
      <c r="C6" s="83">
        <f t="shared" ref="C6:I6" si="4">B6+1</f>
        <v>2</v>
      </c>
      <c r="D6" s="83">
        <f t="shared" si="4"/>
        <v>3</v>
      </c>
      <c r="E6" s="83">
        <f t="shared" si="4"/>
        <v>4</v>
      </c>
      <c r="F6" s="83">
        <f t="shared" si="4"/>
        <v>5</v>
      </c>
      <c r="G6" s="83">
        <f t="shared" si="4"/>
        <v>6</v>
      </c>
      <c r="H6" s="83">
        <f t="shared" si="4"/>
        <v>7</v>
      </c>
      <c r="I6" s="83">
        <f t="shared" si="4"/>
        <v>8</v>
      </c>
    </row>
    <row r="7">
      <c r="A7" s="4" t="s">
        <v>15</v>
      </c>
      <c r="B7" s="46"/>
      <c r="C7" s="46"/>
      <c r="D7" s="46"/>
      <c r="E7" s="46"/>
      <c r="F7" s="46"/>
      <c r="G7" s="46"/>
      <c r="H7" s="46"/>
      <c r="I7" s="46"/>
      <c r="J7" s="46"/>
      <c r="K7" s="46"/>
      <c r="L7" s="46"/>
      <c r="M7" s="46"/>
      <c r="N7" s="46"/>
      <c r="O7" s="46"/>
      <c r="P7" s="46"/>
      <c r="Q7" s="46"/>
      <c r="R7" s="46"/>
      <c r="S7" s="46"/>
      <c r="T7" s="46"/>
      <c r="U7" s="46"/>
      <c r="V7" s="46"/>
      <c r="W7" s="46"/>
      <c r="X7" s="46"/>
      <c r="Y7" s="46"/>
      <c r="Z7" s="46"/>
      <c r="AA7" s="46"/>
    </row>
    <row r="8">
      <c r="A8" s="6" t="s">
        <v>386</v>
      </c>
      <c r="B8" s="70">
        <f t="shared" ref="B8:I8" si="5">SUMIFS($B$57:$Y$57,$B$3:$Y$3,B$6)</f>
        <v>260580.9382</v>
      </c>
      <c r="C8" s="70">
        <f t="shared" si="5"/>
        <v>579681.899</v>
      </c>
      <c r="D8" s="70">
        <f t="shared" si="5"/>
        <v>684612.6322</v>
      </c>
      <c r="E8" s="70">
        <f t="shared" si="5"/>
        <v>626209.1633</v>
      </c>
      <c r="F8" s="70">
        <f t="shared" si="5"/>
        <v>605353.4473</v>
      </c>
      <c r="G8" s="70">
        <f t="shared" si="5"/>
        <v>708094.1721</v>
      </c>
      <c r="H8" s="70">
        <f t="shared" si="5"/>
        <v>647687.5216</v>
      </c>
      <c r="I8" s="70">
        <f t="shared" si="5"/>
        <v>592434.0888</v>
      </c>
    </row>
    <row r="9">
      <c r="A9" s="6" t="s">
        <v>387</v>
      </c>
      <c r="B9" s="70">
        <f t="shared" ref="B9:I9" si="6">SUMIFS($B$54:$Y$54,$B$3:$Y$3,B$6)</f>
        <v>875350.5137</v>
      </c>
      <c r="C9" s="70">
        <f t="shared" si="6"/>
        <v>1932272.997</v>
      </c>
      <c r="D9" s="70">
        <f t="shared" si="6"/>
        <v>2282042.107</v>
      </c>
      <c r="E9" s="70">
        <f t="shared" si="6"/>
        <v>2087363.878</v>
      </c>
      <c r="F9" s="70">
        <f t="shared" si="6"/>
        <v>2017844.824</v>
      </c>
      <c r="G9" s="70">
        <f t="shared" si="6"/>
        <v>2360313.907</v>
      </c>
      <c r="H9" s="70">
        <f t="shared" si="6"/>
        <v>2158958.405</v>
      </c>
      <c r="I9" s="70">
        <f t="shared" si="6"/>
        <v>1974780.296</v>
      </c>
    </row>
    <row r="10">
      <c r="A10" s="12" t="s">
        <v>388</v>
      </c>
      <c r="B10" s="84">
        <f t="shared" ref="B10:I10" si="7">IF(B8=0,"",B9/B8)</f>
        <v>3.359226963</v>
      </c>
      <c r="C10" s="84">
        <f t="shared" si="7"/>
        <v>3.333333333</v>
      </c>
      <c r="D10" s="84">
        <f t="shared" si="7"/>
        <v>3.333333333</v>
      </c>
      <c r="E10" s="84">
        <f t="shared" si="7"/>
        <v>3.333333333</v>
      </c>
      <c r="F10" s="84">
        <f t="shared" si="7"/>
        <v>3.333333333</v>
      </c>
      <c r="G10" s="84">
        <f t="shared" si="7"/>
        <v>3.333333333</v>
      </c>
      <c r="H10" s="84">
        <f t="shared" si="7"/>
        <v>3.333333333</v>
      </c>
      <c r="I10" s="84">
        <f t="shared" si="7"/>
        <v>3.333333333</v>
      </c>
    </row>
    <row r="11">
      <c r="A11" s="6" t="s">
        <v>389</v>
      </c>
      <c r="B11" s="85">
        <f>'Rep capacity'!$B$37</f>
        <v>3.333333333</v>
      </c>
      <c r="C11" s="85">
        <f>'Rep capacity'!$B$37</f>
        <v>3.333333333</v>
      </c>
      <c r="D11" s="85">
        <f>'Rep capacity'!$B$37</f>
        <v>3.333333333</v>
      </c>
      <c r="E11" s="85">
        <f>'Rep capacity'!$B$37</f>
        <v>3.333333333</v>
      </c>
      <c r="F11" s="85">
        <f>'Rep capacity'!$B$37</f>
        <v>3.333333333</v>
      </c>
      <c r="G11" s="85">
        <f>'Rep capacity'!$B$37</f>
        <v>3.333333333</v>
      </c>
      <c r="H11" s="85">
        <f>'Rep capacity'!$B$37</f>
        <v>3.333333333</v>
      </c>
      <c r="I11" s="85">
        <f>'Rep capacity'!$B$37</f>
        <v>3.333333333</v>
      </c>
    </row>
    <row r="12">
      <c r="A12" s="12" t="s">
        <v>390</v>
      </c>
      <c r="B12" s="83" t="str">
        <f t="shared" ref="B12:I12" si="8">IF(B10="","",IF(ROUND(B10,4)&lt;ROUND(B11,4),"Below target","OK"))</f>
        <v>OK</v>
      </c>
      <c r="C12" s="83" t="str">
        <f t="shared" si="8"/>
        <v>OK</v>
      </c>
      <c r="D12" s="83" t="str">
        <f t="shared" si="8"/>
        <v>OK</v>
      </c>
      <c r="E12" s="83" t="str">
        <f t="shared" si="8"/>
        <v>OK</v>
      </c>
      <c r="F12" s="83" t="str">
        <f t="shared" si="8"/>
        <v>OK</v>
      </c>
      <c r="G12" s="83" t="str">
        <f t="shared" si="8"/>
        <v>OK</v>
      </c>
      <c r="H12" s="83" t="str">
        <f t="shared" si="8"/>
        <v>OK</v>
      </c>
      <c r="I12" s="83" t="str">
        <f t="shared" si="8"/>
        <v>OK</v>
      </c>
    </row>
    <row r="13">
      <c r="A13" s="6" t="s">
        <v>391</v>
      </c>
      <c r="B13" s="70">
        <f t="shared" ref="B13:I13" si="9">SUMIFS($B$56:$Y$56,$B$3:$Y$3,B$6)</f>
        <v>262605.1541</v>
      </c>
      <c r="C13" s="70">
        <f t="shared" si="9"/>
        <v>579681.899</v>
      </c>
      <c r="D13" s="70">
        <f t="shared" si="9"/>
        <v>684612.6322</v>
      </c>
      <c r="E13" s="70">
        <f t="shared" si="9"/>
        <v>626209.1633</v>
      </c>
      <c r="F13" s="70">
        <f t="shared" si="9"/>
        <v>605353.4473</v>
      </c>
      <c r="G13" s="70">
        <f t="shared" si="9"/>
        <v>708094.1721</v>
      </c>
      <c r="H13" s="70">
        <f t="shared" si="9"/>
        <v>647687.5216</v>
      </c>
      <c r="I13" s="70">
        <f t="shared" si="9"/>
        <v>592434.0888</v>
      </c>
    </row>
    <row r="14">
      <c r="A14" s="6" t="s">
        <v>392</v>
      </c>
      <c r="B14" s="85">
        <f t="shared" ref="B14:I14" si="10">IF(B8=0,"",B13/B8)</f>
        <v>1.007768089</v>
      </c>
      <c r="C14" s="85">
        <f t="shared" si="10"/>
        <v>1</v>
      </c>
      <c r="D14" s="85">
        <f t="shared" si="10"/>
        <v>1</v>
      </c>
      <c r="E14" s="85">
        <f t="shared" si="10"/>
        <v>1</v>
      </c>
      <c r="F14" s="85">
        <f t="shared" si="10"/>
        <v>1</v>
      </c>
      <c r="G14" s="85">
        <f t="shared" si="10"/>
        <v>1</v>
      </c>
      <c r="H14" s="85">
        <f t="shared" si="10"/>
        <v>1</v>
      </c>
      <c r="I14" s="85">
        <f t="shared" si="10"/>
        <v>1</v>
      </c>
    </row>
    <row r="15">
      <c r="A15" s="6" t="s">
        <v>393</v>
      </c>
      <c r="B15" s="86">
        <f t="shared" ref="B15:I15" si="11">IF(COUNTIFS($B$3:$Y$3,B$6,$B$62:$Y$62,"&gt;=0")=0,"",SUMIFS($B$62:$Y$62,$B$3:$Y$3,B$6))</f>
        <v>3782.777707</v>
      </c>
      <c r="C15" s="86">
        <f t="shared" si="11"/>
        <v>6219.074999</v>
      </c>
      <c r="D15" s="86">
        <f t="shared" si="11"/>
        <v>6592.890756</v>
      </c>
      <c r="E15" s="86">
        <f t="shared" si="11"/>
        <v>6030.459284</v>
      </c>
      <c r="F15" s="86">
        <f t="shared" si="11"/>
        <v>6466.294676</v>
      </c>
      <c r="G15" s="86">
        <f t="shared" si="11"/>
        <v>6819.020423</v>
      </c>
      <c r="H15" s="86">
        <f t="shared" si="11"/>
        <v>6237.298105</v>
      </c>
      <c r="I15" s="86">
        <f t="shared" si="11"/>
        <v>3859.704668</v>
      </c>
    </row>
    <row r="16">
      <c r="A16" s="6" t="s">
        <v>394</v>
      </c>
      <c r="B16" s="86">
        <f t="shared" ref="B16:I16" si="12">INDEX($B$49:$Y$49,1,B$6*3)</f>
        <v>0</v>
      </c>
      <c r="C16" s="86">
        <f t="shared" si="12"/>
        <v>0</v>
      </c>
      <c r="D16" s="86">
        <f t="shared" si="12"/>
        <v>0</v>
      </c>
      <c r="E16" s="86">
        <f t="shared" si="12"/>
        <v>0</v>
      </c>
      <c r="F16" s="86">
        <f t="shared" si="12"/>
        <v>0</v>
      </c>
      <c r="G16" s="86">
        <f t="shared" si="12"/>
        <v>0</v>
      </c>
      <c r="H16" s="86">
        <f t="shared" si="12"/>
        <v>0</v>
      </c>
      <c r="I16" s="86">
        <f t="shared" si="12"/>
        <v>0</v>
      </c>
    </row>
    <row r="17">
      <c r="A17" s="6" t="s">
        <v>395</v>
      </c>
      <c r="B17" s="86">
        <f t="shared" ref="B17:I17" si="13">SUMIFS($B$50:$Y$50,$B$3:$Y$3,B$6)</f>
        <v>0</v>
      </c>
      <c r="C17" s="86">
        <f t="shared" si="13"/>
        <v>0</v>
      </c>
      <c r="D17" s="86">
        <f t="shared" si="13"/>
        <v>0</v>
      </c>
      <c r="E17" s="86">
        <f t="shared" si="13"/>
        <v>0</v>
      </c>
      <c r="F17" s="86">
        <f t="shared" si="13"/>
        <v>0</v>
      </c>
      <c r="G17" s="86">
        <f t="shared" si="13"/>
        <v>0</v>
      </c>
      <c r="H17" s="86">
        <f t="shared" si="13"/>
        <v>0</v>
      </c>
      <c r="I17" s="86">
        <f t="shared" si="13"/>
        <v>0</v>
      </c>
    </row>
    <row r="18">
      <c r="A18" s="4" t="s">
        <v>16</v>
      </c>
      <c r="B18" s="46"/>
      <c r="C18" s="46"/>
      <c r="D18" s="46"/>
      <c r="E18" s="46"/>
      <c r="F18" s="46"/>
      <c r="G18" s="46"/>
      <c r="H18" s="46"/>
      <c r="I18" s="46"/>
      <c r="J18" s="46"/>
      <c r="K18" s="46"/>
      <c r="L18" s="46"/>
      <c r="M18" s="46"/>
      <c r="N18" s="46"/>
      <c r="O18" s="46"/>
      <c r="P18" s="46"/>
      <c r="Q18" s="46"/>
      <c r="R18" s="46"/>
      <c r="S18" s="46"/>
      <c r="T18" s="46"/>
      <c r="U18" s="46"/>
      <c r="V18" s="46"/>
      <c r="W18" s="46"/>
      <c r="X18" s="46"/>
      <c r="Y18" s="46"/>
      <c r="Z18" s="46"/>
      <c r="AA18" s="46"/>
    </row>
    <row r="19">
      <c r="A19" s="6" t="s">
        <v>386</v>
      </c>
      <c r="B19" s="70">
        <f t="shared" ref="B19:I19" si="14">SUMIFS($B$85:$Y$85,$B$3:$Y$3,B$6)</f>
        <v>555035.6396</v>
      </c>
      <c r="C19" s="70">
        <f t="shared" si="14"/>
        <v>524920.2988</v>
      </c>
      <c r="D19" s="70">
        <f t="shared" si="14"/>
        <v>496438.968</v>
      </c>
      <c r="E19" s="70">
        <f t="shared" si="14"/>
        <v>469502.9884</v>
      </c>
      <c r="F19" s="70">
        <f t="shared" si="14"/>
        <v>444028.5117</v>
      </c>
      <c r="G19" s="70">
        <f t="shared" si="14"/>
        <v>551972.1254</v>
      </c>
      <c r="H19" s="70">
        <f t="shared" si="14"/>
        <v>776468.7464</v>
      </c>
      <c r="I19" s="70">
        <f t="shared" si="14"/>
        <v>734338.8016</v>
      </c>
    </row>
    <row r="20">
      <c r="A20" s="6" t="s">
        <v>387</v>
      </c>
      <c r="B20" s="70">
        <f t="shared" ref="B20:I20" si="15">SUMIFS($B$82:$Y$82,$B$3:$Y$3,B$6)</f>
        <v>2304000</v>
      </c>
      <c r="C20" s="70">
        <f t="shared" si="15"/>
        <v>2099681.195</v>
      </c>
      <c r="D20" s="70">
        <f t="shared" si="15"/>
        <v>1985755.872</v>
      </c>
      <c r="E20" s="70">
        <f t="shared" si="15"/>
        <v>1878011.954</v>
      </c>
      <c r="F20" s="70">
        <f t="shared" si="15"/>
        <v>1776114.047</v>
      </c>
      <c r="G20" s="70">
        <f t="shared" si="15"/>
        <v>2207888.501</v>
      </c>
      <c r="H20" s="70">
        <f t="shared" si="15"/>
        <v>3105874.986</v>
      </c>
      <c r="I20" s="70">
        <f t="shared" si="15"/>
        <v>2937355.206</v>
      </c>
    </row>
    <row r="21">
      <c r="A21" s="12" t="s">
        <v>388</v>
      </c>
      <c r="B21" s="84">
        <f t="shared" ref="B21:I21" si="16">IF(B19=0,"",B20/B19)</f>
        <v>4.151084787</v>
      </c>
      <c r="C21" s="84">
        <f t="shared" si="16"/>
        <v>4</v>
      </c>
      <c r="D21" s="84">
        <f t="shared" si="16"/>
        <v>4</v>
      </c>
      <c r="E21" s="84">
        <f t="shared" si="16"/>
        <v>4</v>
      </c>
      <c r="F21" s="84">
        <f t="shared" si="16"/>
        <v>4</v>
      </c>
      <c r="G21" s="84">
        <f t="shared" si="16"/>
        <v>4</v>
      </c>
      <c r="H21" s="84">
        <f t="shared" si="16"/>
        <v>4</v>
      </c>
      <c r="I21" s="84">
        <f t="shared" si="16"/>
        <v>4</v>
      </c>
    </row>
    <row r="22">
      <c r="A22" s="6" t="s">
        <v>389</v>
      </c>
      <c r="B22" s="85">
        <f>'Rep capacity'!$C$37</f>
        <v>4</v>
      </c>
      <c r="C22" s="85">
        <f>'Rep capacity'!$C$37</f>
        <v>4</v>
      </c>
      <c r="D22" s="85">
        <f>'Rep capacity'!$C$37</f>
        <v>4</v>
      </c>
      <c r="E22" s="85">
        <f>'Rep capacity'!$C$37</f>
        <v>4</v>
      </c>
      <c r="F22" s="85">
        <f>'Rep capacity'!$C$37</f>
        <v>4</v>
      </c>
      <c r="G22" s="85">
        <f>'Rep capacity'!$C$37</f>
        <v>4</v>
      </c>
      <c r="H22" s="85">
        <f>'Rep capacity'!$C$37</f>
        <v>4</v>
      </c>
      <c r="I22" s="85">
        <f>'Rep capacity'!$C$37</f>
        <v>4</v>
      </c>
    </row>
    <row r="23">
      <c r="A23" s="12" t="s">
        <v>390</v>
      </c>
      <c r="B23" s="83" t="str">
        <f t="shared" ref="B23:I23" si="17">IF(B21="","",IF(ROUND(B21,4)&lt;ROUND(B22,4),"Below target","OK"))</f>
        <v>OK</v>
      </c>
      <c r="C23" s="83" t="str">
        <f t="shared" si="17"/>
        <v>OK</v>
      </c>
      <c r="D23" s="83" t="str">
        <f t="shared" si="17"/>
        <v>OK</v>
      </c>
      <c r="E23" s="83" t="str">
        <f t="shared" si="17"/>
        <v>OK</v>
      </c>
      <c r="F23" s="83" t="str">
        <f t="shared" si="17"/>
        <v>OK</v>
      </c>
      <c r="G23" s="83" t="str">
        <f t="shared" si="17"/>
        <v>OK</v>
      </c>
      <c r="H23" s="83" t="str">
        <f t="shared" si="17"/>
        <v>OK</v>
      </c>
      <c r="I23" s="83" t="str">
        <f t="shared" si="17"/>
        <v>OK</v>
      </c>
    </row>
    <row r="24">
      <c r="A24" s="6" t="s">
        <v>391</v>
      </c>
      <c r="B24" s="70">
        <f t="shared" ref="B24:I24" si="18">SUMIFS($B$84:$Y$84,$B$3:$Y$3,B$6)</f>
        <v>576000</v>
      </c>
      <c r="C24" s="70">
        <f t="shared" si="18"/>
        <v>524920.2988</v>
      </c>
      <c r="D24" s="70">
        <f t="shared" si="18"/>
        <v>496438.968</v>
      </c>
      <c r="E24" s="70">
        <f t="shared" si="18"/>
        <v>469502.9884</v>
      </c>
      <c r="F24" s="70">
        <f t="shared" si="18"/>
        <v>444028.5117</v>
      </c>
      <c r="G24" s="70">
        <f t="shared" si="18"/>
        <v>551972.1254</v>
      </c>
      <c r="H24" s="70">
        <f t="shared" si="18"/>
        <v>776468.7464</v>
      </c>
      <c r="I24" s="70">
        <f t="shared" si="18"/>
        <v>734338.8016</v>
      </c>
    </row>
    <row r="25">
      <c r="A25" s="6" t="s">
        <v>392</v>
      </c>
      <c r="B25" s="85">
        <f t="shared" ref="B25:I25" si="19">IF(B19=0,"",B24/B19)</f>
        <v>1.037771197</v>
      </c>
      <c r="C25" s="85">
        <f t="shared" si="19"/>
        <v>1</v>
      </c>
      <c r="D25" s="85">
        <f t="shared" si="19"/>
        <v>1</v>
      </c>
      <c r="E25" s="85">
        <f t="shared" si="19"/>
        <v>1</v>
      </c>
      <c r="F25" s="85">
        <f t="shared" si="19"/>
        <v>1</v>
      </c>
      <c r="G25" s="85">
        <f t="shared" si="19"/>
        <v>1</v>
      </c>
      <c r="H25" s="85">
        <f t="shared" si="19"/>
        <v>1</v>
      </c>
      <c r="I25" s="85">
        <f t="shared" si="19"/>
        <v>1</v>
      </c>
    </row>
    <row r="26">
      <c r="A26" s="6" t="s">
        <v>393</v>
      </c>
      <c r="B26" s="86">
        <f t="shared" ref="B26:I26" si="20">IF(COUNTIFS($B$3:$Y$3,B$6,$B$90:$Y$90,"&gt;=0")=0,"",SUMIFS($B$90:$Y$90,$B$3:$Y$3,B$6))</f>
        <v>1399.787464</v>
      </c>
      <c r="C26" s="86">
        <f t="shared" si="20"/>
        <v>1323.837248</v>
      </c>
      <c r="D26" s="86">
        <f t="shared" si="20"/>
        <v>1252.007969</v>
      </c>
      <c r="E26" s="86">
        <f t="shared" si="20"/>
        <v>1184.076031</v>
      </c>
      <c r="F26" s="86">
        <f t="shared" si="20"/>
        <v>1471.925668</v>
      </c>
      <c r="G26" s="86">
        <f t="shared" si="20"/>
        <v>2070.583324</v>
      </c>
      <c r="H26" s="86">
        <f t="shared" si="20"/>
        <v>1958.236804</v>
      </c>
      <c r="I26" s="86" t="str">
        <f t="shared" si="20"/>
        <v/>
      </c>
    </row>
    <row r="27">
      <c r="A27" s="6" t="s">
        <v>394</v>
      </c>
      <c r="B27" s="86">
        <f t="shared" ref="B27:I27" si="21">INDEX($B$77:$Y$77,1,B$6*3)</f>
        <v>0</v>
      </c>
      <c r="C27" s="86">
        <f t="shared" si="21"/>
        <v>0</v>
      </c>
      <c r="D27" s="86">
        <f t="shared" si="21"/>
        <v>0</v>
      </c>
      <c r="E27" s="86">
        <f t="shared" si="21"/>
        <v>0</v>
      </c>
      <c r="F27" s="86">
        <f t="shared" si="21"/>
        <v>0</v>
      </c>
      <c r="G27" s="86">
        <f t="shared" si="21"/>
        <v>0</v>
      </c>
      <c r="H27" s="86">
        <f t="shared" si="21"/>
        <v>0</v>
      </c>
      <c r="I27" s="86">
        <f t="shared" si="21"/>
        <v>0</v>
      </c>
    </row>
    <row r="28">
      <c r="A28" s="6" t="s">
        <v>395</v>
      </c>
      <c r="B28" s="86">
        <f t="shared" ref="B28:I28" si="22">SUMIFS($B$78:$Y$78,$B$3:$Y$3,B$6)</f>
        <v>0</v>
      </c>
      <c r="C28" s="86">
        <f t="shared" si="22"/>
        <v>0</v>
      </c>
      <c r="D28" s="86">
        <f t="shared" si="22"/>
        <v>0</v>
      </c>
      <c r="E28" s="86">
        <f t="shared" si="22"/>
        <v>0</v>
      </c>
      <c r="F28" s="86">
        <f t="shared" si="22"/>
        <v>0</v>
      </c>
      <c r="G28" s="86">
        <f t="shared" si="22"/>
        <v>0</v>
      </c>
      <c r="H28" s="86">
        <f t="shared" si="22"/>
        <v>0</v>
      </c>
      <c r="I28" s="86">
        <f t="shared" si="22"/>
        <v>0</v>
      </c>
    </row>
    <row r="29">
      <c r="A29" s="4" t="s">
        <v>17</v>
      </c>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row>
    <row r="30">
      <c r="A30" s="6" t="s">
        <v>386</v>
      </c>
      <c r="B30" s="70">
        <f t="shared" ref="B30:I30" si="23">SUMIFS($B$113:$Y$113,$B$3:$Y$3,B$6)</f>
        <v>438001.4555</v>
      </c>
      <c r="C30" s="70">
        <f t="shared" si="23"/>
        <v>420562.2477</v>
      </c>
      <c r="D30" s="70">
        <f t="shared" si="23"/>
        <v>505224.3862</v>
      </c>
      <c r="E30" s="70">
        <f t="shared" si="23"/>
        <v>747568.6937</v>
      </c>
      <c r="F30" s="70">
        <f t="shared" si="23"/>
        <v>749678.9392</v>
      </c>
      <c r="G30" s="70">
        <f t="shared" si="23"/>
        <v>719830.1644</v>
      </c>
      <c r="H30" s="70">
        <f t="shared" si="23"/>
        <v>691169.8308</v>
      </c>
      <c r="I30" s="70">
        <f t="shared" si="23"/>
        <v>663650.6202</v>
      </c>
    </row>
    <row r="31">
      <c r="A31" s="6" t="s">
        <v>387</v>
      </c>
      <c r="B31" s="70">
        <f t="shared" ref="B31:I31" si="24">SUMIFS($B$110:$Y$110,$B$3:$Y$3,B$6)</f>
        <v>2250000</v>
      </c>
      <c r="C31" s="70">
        <f t="shared" si="24"/>
        <v>2250000</v>
      </c>
      <c r="D31" s="70">
        <f t="shared" si="24"/>
        <v>2526121.931</v>
      </c>
      <c r="E31" s="70">
        <f t="shared" si="24"/>
        <v>3737843.468</v>
      </c>
      <c r="F31" s="70">
        <f t="shared" si="24"/>
        <v>3748394.696</v>
      </c>
      <c r="G31" s="70">
        <f t="shared" si="24"/>
        <v>3599150.822</v>
      </c>
      <c r="H31" s="70">
        <f t="shared" si="24"/>
        <v>3455849.154</v>
      </c>
      <c r="I31" s="70">
        <f t="shared" si="24"/>
        <v>3318253.101</v>
      </c>
    </row>
    <row r="32">
      <c r="A32" s="12" t="s">
        <v>388</v>
      </c>
      <c r="B32" s="84">
        <f t="shared" ref="B32:I32" si="25">IF(B30=0,"",B31/B30)</f>
        <v>5.136969231</v>
      </c>
      <c r="C32" s="84">
        <f t="shared" si="25"/>
        <v>5.349980918</v>
      </c>
      <c r="D32" s="84">
        <f t="shared" si="25"/>
        <v>5</v>
      </c>
      <c r="E32" s="84">
        <f t="shared" si="25"/>
        <v>5</v>
      </c>
      <c r="F32" s="84">
        <f t="shared" si="25"/>
        <v>5</v>
      </c>
      <c r="G32" s="84">
        <f t="shared" si="25"/>
        <v>5</v>
      </c>
      <c r="H32" s="84">
        <f t="shared" si="25"/>
        <v>5</v>
      </c>
      <c r="I32" s="84">
        <f t="shared" si="25"/>
        <v>5</v>
      </c>
    </row>
    <row r="33">
      <c r="A33" s="6" t="s">
        <v>389</v>
      </c>
      <c r="B33" s="85">
        <f>'Rep capacity'!$D$37</f>
        <v>5</v>
      </c>
      <c r="C33" s="85">
        <f>'Rep capacity'!$D$37</f>
        <v>5</v>
      </c>
      <c r="D33" s="85">
        <f>'Rep capacity'!$D$37</f>
        <v>5</v>
      </c>
      <c r="E33" s="85">
        <f>'Rep capacity'!$D$37</f>
        <v>5</v>
      </c>
      <c r="F33" s="85">
        <f>'Rep capacity'!$D$37</f>
        <v>5</v>
      </c>
      <c r="G33" s="85">
        <f>'Rep capacity'!$D$37</f>
        <v>5</v>
      </c>
      <c r="H33" s="85">
        <f>'Rep capacity'!$D$37</f>
        <v>5</v>
      </c>
      <c r="I33" s="85">
        <f>'Rep capacity'!$D$37</f>
        <v>5</v>
      </c>
    </row>
    <row r="34">
      <c r="A34" s="12" t="s">
        <v>390</v>
      </c>
      <c r="B34" s="83" t="str">
        <f t="shared" ref="B34:I34" si="26">IF(B32="","",IF(ROUND(B32,4)&lt;ROUND(B33,4),"Below target","OK"))</f>
        <v>OK</v>
      </c>
      <c r="C34" s="83" t="str">
        <f t="shared" si="26"/>
        <v>OK</v>
      </c>
      <c r="D34" s="83" t="str">
        <f t="shared" si="26"/>
        <v>OK</v>
      </c>
      <c r="E34" s="83" t="str">
        <f t="shared" si="26"/>
        <v>OK</v>
      </c>
      <c r="F34" s="83" t="str">
        <f t="shared" si="26"/>
        <v>OK</v>
      </c>
      <c r="G34" s="83" t="str">
        <f t="shared" si="26"/>
        <v>OK</v>
      </c>
      <c r="H34" s="83" t="str">
        <f t="shared" si="26"/>
        <v>OK</v>
      </c>
      <c r="I34" s="83" t="str">
        <f t="shared" si="26"/>
        <v>OK</v>
      </c>
    </row>
    <row r="35">
      <c r="A35" s="6" t="s">
        <v>391</v>
      </c>
      <c r="B35" s="70">
        <f t="shared" ref="B35:I35" si="27">SUMIFS($B$112:$Y$112,$B$3:$Y$3,B$6)</f>
        <v>450000</v>
      </c>
      <c r="C35" s="70">
        <f t="shared" si="27"/>
        <v>450000</v>
      </c>
      <c r="D35" s="70">
        <f t="shared" si="27"/>
        <v>505224.3862</v>
      </c>
      <c r="E35" s="70">
        <f t="shared" si="27"/>
        <v>747568.6937</v>
      </c>
      <c r="F35" s="70">
        <f t="shared" si="27"/>
        <v>749678.9392</v>
      </c>
      <c r="G35" s="70">
        <f t="shared" si="27"/>
        <v>719830.1644</v>
      </c>
      <c r="H35" s="70">
        <f t="shared" si="27"/>
        <v>691169.8308</v>
      </c>
      <c r="I35" s="70">
        <f t="shared" si="27"/>
        <v>663650.6202</v>
      </c>
    </row>
    <row r="36">
      <c r="A36" s="6" t="s">
        <v>392</v>
      </c>
      <c r="B36" s="85">
        <f t="shared" ref="B36:I36" si="28">IF(B30=0,"",B35/B30)</f>
        <v>1.027393846</v>
      </c>
      <c r="C36" s="85">
        <f t="shared" si="28"/>
        <v>1.069996184</v>
      </c>
      <c r="D36" s="85">
        <f t="shared" si="28"/>
        <v>1</v>
      </c>
      <c r="E36" s="85">
        <f t="shared" si="28"/>
        <v>1</v>
      </c>
      <c r="F36" s="85">
        <f t="shared" si="28"/>
        <v>1</v>
      </c>
      <c r="G36" s="85">
        <f t="shared" si="28"/>
        <v>1</v>
      </c>
      <c r="H36" s="85">
        <f t="shared" si="28"/>
        <v>1</v>
      </c>
      <c r="I36" s="85">
        <f t="shared" si="28"/>
        <v>1</v>
      </c>
    </row>
    <row r="37">
      <c r="A37" s="6" t="s">
        <v>393</v>
      </c>
      <c r="B37" s="86">
        <f t="shared" ref="B37:I37" si="29">IF(COUNTIFS($B$3:$Y$3,B$6,$B$118:$Y$118,"&gt;=0")=0,"",SUMIFS($B$118:$Y$118,$B$3:$Y$3,B$6))</f>
        <v>187.1201431</v>
      </c>
      <c r="C37" s="86">
        <f t="shared" si="29"/>
        <v>276.877294</v>
      </c>
      <c r="D37" s="86">
        <f t="shared" si="29"/>
        <v>277.6588664</v>
      </c>
      <c r="E37" s="86">
        <f t="shared" si="29"/>
        <v>266.6037646</v>
      </c>
      <c r="F37" s="86">
        <f t="shared" si="29"/>
        <v>255.9888262</v>
      </c>
      <c r="G37" s="86">
        <f t="shared" si="29"/>
        <v>245.796526</v>
      </c>
      <c r="H37" s="86" t="str">
        <f t="shared" si="29"/>
        <v/>
      </c>
      <c r="I37" s="86" t="str">
        <f t="shared" si="29"/>
        <v/>
      </c>
    </row>
    <row r="38">
      <c r="A38" s="6" t="s">
        <v>394</v>
      </c>
      <c r="B38" s="86">
        <f t="shared" ref="B38:I38" si="30">INDEX($B$105:$Y$105,1,B$6*3)</f>
        <v>0</v>
      </c>
      <c r="C38" s="86">
        <f t="shared" si="30"/>
        <v>0</v>
      </c>
      <c r="D38" s="86">
        <f t="shared" si="30"/>
        <v>0</v>
      </c>
      <c r="E38" s="86">
        <f t="shared" si="30"/>
        <v>0</v>
      </c>
      <c r="F38" s="86">
        <f t="shared" si="30"/>
        <v>0</v>
      </c>
      <c r="G38" s="86">
        <f t="shared" si="30"/>
        <v>0</v>
      </c>
      <c r="H38" s="86">
        <f t="shared" si="30"/>
        <v>0</v>
      </c>
      <c r="I38" s="86">
        <f t="shared" si="30"/>
        <v>0</v>
      </c>
    </row>
    <row r="39">
      <c r="A39" s="6" t="s">
        <v>395</v>
      </c>
      <c r="B39" s="86">
        <f t="shared" ref="B39:I39" si="31">SUMIFS($B$106:$Y$106,$B$3:$Y$3,B$6)</f>
        <v>0</v>
      </c>
      <c r="C39" s="86">
        <f t="shared" si="31"/>
        <v>0</v>
      </c>
      <c r="D39" s="86">
        <f t="shared" si="31"/>
        <v>0</v>
      </c>
      <c r="E39" s="86">
        <f t="shared" si="31"/>
        <v>0</v>
      </c>
      <c r="F39" s="86">
        <f t="shared" si="31"/>
        <v>0</v>
      </c>
      <c r="G39" s="86">
        <f t="shared" si="31"/>
        <v>0</v>
      </c>
      <c r="H39" s="86">
        <f t="shared" si="31"/>
        <v>0</v>
      </c>
      <c r="I39" s="86">
        <f t="shared" si="31"/>
        <v>0</v>
      </c>
    </row>
    <row r="40">
      <c r="A40" s="3"/>
    </row>
    <row r="41">
      <c r="A41" s="4" t="s">
        <v>396</v>
      </c>
      <c r="B41" s="46"/>
      <c r="C41" s="46"/>
      <c r="D41" s="46"/>
      <c r="E41" s="46"/>
      <c r="F41" s="46"/>
      <c r="G41" s="46"/>
      <c r="H41" s="46"/>
      <c r="I41" s="46"/>
      <c r="J41" s="46"/>
      <c r="K41" s="46"/>
      <c r="L41" s="46"/>
      <c r="M41" s="46"/>
      <c r="N41" s="46"/>
      <c r="O41" s="46"/>
      <c r="P41" s="46"/>
      <c r="Q41" s="46"/>
      <c r="R41" s="46"/>
      <c r="S41" s="46"/>
      <c r="T41" s="46"/>
      <c r="U41" s="46"/>
      <c r="V41" s="46"/>
      <c r="W41" s="46"/>
      <c r="X41" s="46"/>
      <c r="Y41" s="46"/>
      <c r="Z41" s="46"/>
      <c r="AA41" s="46"/>
    </row>
    <row r="42" outlineLevel="1">
      <c r="A42" s="3" t="str">
        <f>"Produced: leads ("&amp;Inputs!$B$11&amp;"; monthly overrides on Inputs win)"</f>
        <v>Produced: leads (Paced to plan; monthly overrides on Inputs win)</v>
      </c>
      <c r="B42" s="86">
        <f t="array" ref="B42">IF(ISNUMBER(Inputs!J$71),Inputs!J$71,IF(Inputs!$B$11="Paced to plan",IF(ISNUMBER(B62),B62,IF(ISNUMBER(INDEX($B62:$Y62,1,MAX(1,24-Inputs!$E$30))),INDEX($B62:$Y62,1,MAX(1,24-Inputs!$E$30)),0)),IF(B$4=1,Inputs!$E$43,Inputs!$E$44)))</f>
        <v>646.1393702</v>
      </c>
      <c r="C42" s="86">
        <f t="array" ref="C42">IF(ISNUMBER(Inputs!K$71),Inputs!K$71,IF(Inputs!$B$11="Paced to plan",IF(ISNUMBER(C62),C62,IF(ISNUMBER(INDEX($B62:$Y62,1,MAX(1,24-Inputs!$E$30))),INDEX($B62:$Y62,1,MAX(1,24-Inputs!$E$30)),0)),IF(C$4=1,Inputs!$E$43,Inputs!$E$44)))</f>
        <v>1273.356206</v>
      </c>
      <c r="D42" s="86">
        <f t="array" ref="D42">IF(ISNUMBER(Inputs!L$71),Inputs!L$71,IF(Inputs!$B$11="Paced to plan",IF(ISNUMBER(D62),D62,IF(ISNUMBER(INDEX($B62:$Y62,1,MAX(1,24-Inputs!$E$30))),INDEX($B62:$Y62,1,MAX(1,24-Inputs!$E$30)),0)),IF(D$4=1,Inputs!$E$43,Inputs!$E$44)))</f>
        <v>1863.28213</v>
      </c>
      <c r="E42" s="86">
        <f t="array" ref="E42">IF(ISNUMBER(Inputs!M$71),Inputs!M$71,IF(Inputs!$B$11="Paced to plan",IF(ISNUMBER(E62),E62,IF(ISNUMBER(INDEX($B62:$Y62,1,MAX(1,24-Inputs!$E$30))),INDEX($B62:$Y62,1,MAX(1,24-Inputs!$E$30)),0)),IF(E$4=1,Inputs!$E$43,Inputs!$E$44)))</f>
        <v>1808.714925</v>
      </c>
      <c r="F42" s="86">
        <f t="array" ref="F42">IF(ISNUMBER(Inputs!N$71),Inputs!N$71,IF(Inputs!$B$11="Paced to plan",IF(ISNUMBER(F62),F62,IF(ISNUMBER(INDEX($B62:$Y62,1,MAX(1,24-Inputs!$E$30))),INDEX($B62:$Y62,1,MAX(1,24-Inputs!$E$30)),0)),IF(F$4=1,Inputs!$E$43,Inputs!$E$44)))</f>
        <v>2078.815434</v>
      </c>
      <c r="G42" s="86">
        <f t="array" ref="G42">IF(ISNUMBER(Inputs!O$71),Inputs!O$71,IF(Inputs!$B$11="Paced to plan",IF(ISNUMBER(G62),G62,IF(ISNUMBER(INDEX($B62:$Y62,1,MAX(1,24-Inputs!$E$30))),INDEX($B62:$Y62,1,MAX(1,24-Inputs!$E$30)),0)),IF(G$4=1,Inputs!$E$43,Inputs!$E$44)))</f>
        <v>2331.54464</v>
      </c>
      <c r="H42" s="86">
        <f t="array" ref="H42">IF(ISNUMBER(Inputs!P$71),Inputs!P$71,IF(Inputs!$B$11="Paced to plan",IF(ISNUMBER(H62),H62,IF(ISNUMBER(INDEX($B62:$Y62,1,MAX(1,24-Inputs!$E$30))),INDEX($B62:$Y62,1,MAX(1,24-Inputs!$E$30)),0)),IF(H$4=1,Inputs!$E$43,Inputs!$E$44)))</f>
        <v>2263.264118</v>
      </c>
      <c r="I42" s="86">
        <f t="array" ref="I42">IF(ISNUMBER(Inputs!Q$71),Inputs!Q$71,IF(Inputs!$B$11="Paced to plan",IF(ISNUMBER(I62),I62,IF(ISNUMBER(INDEX($B62:$Y62,1,MAX(1,24-Inputs!$E$30))),INDEX($B62:$Y62,1,MAX(1,24-Inputs!$E$30)),0)),IF(I$4=1,Inputs!$E$43,Inputs!$E$44)))</f>
        <v>2196.983228</v>
      </c>
      <c r="J42" s="86">
        <f t="array" ref="J42">IF(ISNUMBER(Inputs!R$71),Inputs!R$71,IF(Inputs!$B$11="Paced to plan",IF(ISNUMBER(J62),J62,IF(ISNUMBER(INDEX($B62:$Y62,1,MAX(1,24-Inputs!$E$30))),INDEX($B62:$Y62,1,MAX(1,24-Inputs!$E$30)),0)),IF(J$4=1,Inputs!$E$43,Inputs!$E$44)))</f>
        <v>2132.643409</v>
      </c>
      <c r="K42" s="86">
        <f t="array" ref="K42">IF(ISNUMBER(Inputs!S$71),Inputs!S$71,IF(Inputs!$B$11="Paced to plan",IF(ISNUMBER(K62),K62,IF(ISNUMBER(INDEX($B62:$Y62,1,MAX(1,24-Inputs!$E$30))),INDEX($B62:$Y62,1,MAX(1,24-Inputs!$E$30)),0)),IF(K$4=1,Inputs!$E$43,Inputs!$E$44)))</f>
        <v>2070.187816</v>
      </c>
      <c r="L42" s="86">
        <f t="array" ref="L42">IF(ISNUMBER(Inputs!T$71),Inputs!T$71,IF(Inputs!$B$11="Paced to plan",IF(ISNUMBER(L62),L62,IF(ISNUMBER(INDEX($B62:$Y62,1,MAX(1,24-Inputs!$E$30))),INDEX($B62:$Y62,1,MAX(1,24-Inputs!$E$30)),0)),IF(L$4=1,Inputs!$E$43,Inputs!$E$44)))</f>
        <v>2009.561268</v>
      </c>
      <c r="M42" s="86">
        <f t="array" ref="M42">IF(ISNUMBER(Inputs!U$71),Inputs!U$71,IF(Inputs!$B$11="Paced to plan",IF(ISNUMBER(M62),M62,IF(ISNUMBER(INDEX($B62:$Y62,1,MAX(1,24-Inputs!$E$30))),INDEX($B62:$Y62,1,MAX(1,24-Inputs!$E$30)),0)),IF(M$4=1,Inputs!$E$43,Inputs!$E$44)))</f>
        <v>1950.7102</v>
      </c>
      <c r="N42" s="86">
        <f t="array" ref="N42">IF(ISNUMBER(Inputs!V$71),Inputs!V$71,IF(Inputs!$B$11="Paced to plan",IF(ISNUMBER(N62),N62,IF(ISNUMBER(INDEX($B62:$Y62,1,MAX(1,24-Inputs!$E$30))),INDEX($B62:$Y62,1,MAX(1,24-Inputs!$E$30)),0)),IF(N$4=1,Inputs!$E$43,Inputs!$E$44)))</f>
        <v>1893.582617</v>
      </c>
      <c r="O42" s="86">
        <f t="array" ref="O42">IF(ISNUMBER(Inputs!W$71),Inputs!W$71,IF(Inputs!$B$11="Paced to plan",IF(ISNUMBER(O62),O62,IF(ISNUMBER(INDEX($B62:$Y62,1,MAX(1,24-Inputs!$E$30))),INDEX($B62:$Y62,1,MAX(1,24-Inputs!$E$30)),0)),IF(O$4=1,Inputs!$E$43,Inputs!$E$44)))</f>
        <v>2161.197731</v>
      </c>
      <c r="P42" s="86">
        <f t="array" ref="P42">IF(ISNUMBER(Inputs!X$71),Inputs!X$71,IF(Inputs!$B$11="Paced to plan",IF(ISNUMBER(P62),P62,IF(ISNUMBER(INDEX($B62:$Y62,1,MAX(1,24-Inputs!$E$30))),INDEX($B62:$Y62,1,MAX(1,24-Inputs!$E$30)),0)),IF(P$4=1,Inputs!$E$43,Inputs!$E$44)))</f>
        <v>2411.514327</v>
      </c>
      <c r="Q42" s="86">
        <f t="array" ref="Q42">IF(ISNUMBER(Inputs!Y$71),Inputs!Y$71,IF(Inputs!$B$11="Paced to plan",IF(ISNUMBER(Q62),Q62,IF(ISNUMBER(INDEX($B62:$Y62,1,MAX(1,24-Inputs!$E$30))),INDEX($B62:$Y62,1,MAX(1,24-Inputs!$E$30)),0)),IF(Q$4=1,Inputs!$E$43,Inputs!$E$44)))</f>
        <v>2340.891851</v>
      </c>
      <c r="R42" s="86">
        <f t="array" ref="R42">IF(ISNUMBER(Inputs!Z$71),Inputs!Z$71,IF(Inputs!$B$11="Paced to plan",IF(ISNUMBER(R62),R62,IF(ISNUMBER(INDEX($B62:$Y62,1,MAX(1,24-Inputs!$E$30))),INDEX($B62:$Y62,1,MAX(1,24-Inputs!$E$30)),0)),IF(R$4=1,Inputs!$E$43,Inputs!$E$44)))</f>
        <v>2272.337592</v>
      </c>
      <c r="S42" s="86">
        <f t="array" ref="S42">IF(ISNUMBER(Inputs!AA$71),Inputs!AA$71,IF(Inputs!$B$11="Paced to plan",IF(ISNUMBER(S62),S62,IF(ISNUMBER(INDEX($B62:$Y62,1,MAX(1,24-Inputs!$E$30))),INDEX($B62:$Y62,1,MAX(1,24-Inputs!$E$30)),0)),IF(S$4=1,Inputs!$E$43,Inputs!$E$44)))</f>
        <v>2205.79098</v>
      </c>
      <c r="T42" s="86">
        <f t="array" ref="T42">IF(ISNUMBER(Inputs!AB$71),Inputs!AB$71,IF(Inputs!$B$11="Paced to plan",IF(ISNUMBER(T62),T62,IF(ISNUMBER(INDEX($B62:$Y62,1,MAX(1,24-Inputs!$E$30))),INDEX($B62:$Y62,1,MAX(1,24-Inputs!$E$30)),0)),IF(T$4=1,Inputs!$E$43,Inputs!$E$44)))</f>
        <v>2141.193222</v>
      </c>
      <c r="U42" s="86">
        <f t="array" ref="U42">IF(ISNUMBER(Inputs!AC$71),Inputs!AC$71,IF(Inputs!$B$11="Paced to plan",IF(ISNUMBER(U62),U62,IF(ISNUMBER(INDEX($B62:$Y62,1,MAX(1,24-Inputs!$E$30))),INDEX($B62:$Y62,1,MAX(1,24-Inputs!$E$30)),0)),IF(U$4=1,Inputs!$E$43,Inputs!$E$44)))</f>
        <v>2078.487242</v>
      </c>
      <c r="V42" s="86">
        <f t="array" ref="V42">IF(ISNUMBER(Inputs!AD$71),Inputs!AD$71,IF(Inputs!$B$11="Paced to plan",IF(ISNUMBER(V62),V62,IF(ISNUMBER(INDEX($B62:$Y62,1,MAX(1,24-Inputs!$E$30))),INDEX($B62:$Y62,1,MAX(1,24-Inputs!$E$30)),0)),IF(V$4=1,Inputs!$E$43,Inputs!$E$44)))</f>
        <v>2017.617641</v>
      </c>
      <c r="W42" s="86">
        <f t="array" ref="W42">IF(ISNUMBER(Inputs!AE$71),Inputs!AE$71,IF(Inputs!$B$11="Paced to plan",IF(ISNUMBER(W62),W62,IF(ISNUMBER(INDEX($B62:$Y62,1,MAX(1,24-Inputs!$E$30))),INDEX($B62:$Y62,1,MAX(1,24-Inputs!$E$30)),0)),IF(W$4=1,Inputs!$E$43,Inputs!$E$44)))</f>
        <v>1958.530638</v>
      </c>
      <c r="X42" s="86">
        <f t="array" ref="X42">IF(ISNUMBER(Inputs!AF$71),Inputs!AF$71,IF(Inputs!$B$11="Paced to plan",IF(ISNUMBER(X62),X62,IF(ISNUMBER(INDEX($B62:$Y62,1,MAX(1,24-Inputs!$E$30))),INDEX($B62:$Y62,1,MAX(1,24-Inputs!$E$30)),0)),IF(X$4=1,Inputs!$E$43,Inputs!$E$44)))</f>
        <v>1901.17403</v>
      </c>
      <c r="Y42" s="86">
        <f t="array" ref="Y42">IF(ISNUMBER(Inputs!AG$71),Inputs!AG$71,IF(Inputs!$B$11="Paced to plan",IF(ISNUMBER(Y62),Y62,IF(ISNUMBER(INDEX($B62:$Y62,1,MAX(1,24-Inputs!$E$30))),INDEX($B62:$Y62,1,MAX(1,24-Inputs!$E$30)),0)),IF(Y$4=1,Inputs!$E$43,Inputs!$E$44)))</f>
        <v>1901.17403</v>
      </c>
      <c r="Z42" s="87">
        <f t="shared" ref="Z42:Z44" si="32">SUM(B42:M42)</f>
        <v>22625.20275</v>
      </c>
      <c r="AA42" s="87">
        <f t="shared" ref="AA42:AA44" si="33">SUM(N42:Y42)</f>
        <v>25283.4919</v>
      </c>
    </row>
    <row r="43" outlineLevel="1">
      <c r="A43" s="6" t="s">
        <v>397</v>
      </c>
      <c r="B43" s="86">
        <f>B42*Inputs!$E$38</f>
        <v>161.5348425</v>
      </c>
      <c r="C43" s="86">
        <f>C42*Inputs!$E$38</f>
        <v>318.3390516</v>
      </c>
      <c r="D43" s="86">
        <f>D42*Inputs!$E$38</f>
        <v>465.8205326</v>
      </c>
      <c r="E43" s="86">
        <f>E42*Inputs!$E$38</f>
        <v>452.1787312</v>
      </c>
      <c r="F43" s="86">
        <f>F42*Inputs!$E$38</f>
        <v>519.7038586</v>
      </c>
      <c r="G43" s="86">
        <f>G42*Inputs!$E$38</f>
        <v>582.8861599</v>
      </c>
      <c r="H43" s="86">
        <f>H42*Inputs!$E$38</f>
        <v>565.8160296</v>
      </c>
      <c r="I43" s="86">
        <f>I42*Inputs!$E$38</f>
        <v>549.2458071</v>
      </c>
      <c r="J43" s="86">
        <f>J42*Inputs!$E$38</f>
        <v>533.1608523</v>
      </c>
      <c r="K43" s="86">
        <f>K42*Inputs!$E$38</f>
        <v>517.546954</v>
      </c>
      <c r="L43" s="86">
        <f>L42*Inputs!$E$38</f>
        <v>502.3903169</v>
      </c>
      <c r="M43" s="86">
        <f>M42*Inputs!$E$38</f>
        <v>487.67755</v>
      </c>
      <c r="N43" s="86">
        <f>N42*Inputs!$E$38</f>
        <v>473.3956543</v>
      </c>
      <c r="O43" s="86">
        <f>O42*Inputs!$E$38</f>
        <v>540.2994328</v>
      </c>
      <c r="P43" s="86">
        <f>P42*Inputs!$E$38</f>
        <v>602.8785818</v>
      </c>
      <c r="Q43" s="86">
        <f>Q42*Inputs!$E$38</f>
        <v>585.2229628</v>
      </c>
      <c r="R43" s="86">
        <f>R42*Inputs!$E$38</f>
        <v>568.084398</v>
      </c>
      <c r="S43" s="86">
        <f>S42*Inputs!$E$38</f>
        <v>551.4477451</v>
      </c>
      <c r="T43" s="86">
        <f>T42*Inputs!$E$38</f>
        <v>535.2983054</v>
      </c>
      <c r="U43" s="86">
        <f>U42*Inputs!$E$38</f>
        <v>519.6218106</v>
      </c>
      <c r="V43" s="86">
        <f>V42*Inputs!$E$38</f>
        <v>504.4044103</v>
      </c>
      <c r="W43" s="86">
        <f>W42*Inputs!$E$38</f>
        <v>489.6326596</v>
      </c>
      <c r="X43" s="86">
        <f>X42*Inputs!$E$38</f>
        <v>475.2935075</v>
      </c>
      <c r="Y43" s="86">
        <f>Y42*Inputs!$E$38</f>
        <v>475.2935075</v>
      </c>
      <c r="Z43" s="87">
        <f t="shared" si="32"/>
        <v>5656.300686</v>
      </c>
      <c r="AA43" s="87">
        <f t="shared" si="33"/>
        <v>6320.872976</v>
      </c>
    </row>
    <row r="44" outlineLevel="1">
      <c r="A44" s="6" t="s">
        <v>398</v>
      </c>
      <c r="B44" s="86">
        <f>B43*Inputs!$E$39</f>
        <v>45.22975591</v>
      </c>
      <c r="C44" s="86">
        <f>C43*Inputs!$E$39</f>
        <v>89.13493444</v>
      </c>
      <c r="D44" s="86">
        <f>D43*Inputs!$E$39</f>
        <v>130.4297491</v>
      </c>
      <c r="E44" s="86">
        <f>E43*Inputs!$E$39</f>
        <v>126.6100447</v>
      </c>
      <c r="F44" s="86">
        <f>F43*Inputs!$E$39</f>
        <v>145.5170804</v>
      </c>
      <c r="G44" s="86">
        <f>G43*Inputs!$E$39</f>
        <v>163.2081248</v>
      </c>
      <c r="H44" s="86">
        <f>H43*Inputs!$E$39</f>
        <v>158.4284883</v>
      </c>
      <c r="I44" s="86">
        <f>I43*Inputs!$E$39</f>
        <v>153.788826</v>
      </c>
      <c r="J44" s="86">
        <f>J43*Inputs!$E$39</f>
        <v>149.2850386</v>
      </c>
      <c r="K44" s="86">
        <f>K43*Inputs!$E$39</f>
        <v>144.9131471</v>
      </c>
      <c r="L44" s="86">
        <f>L43*Inputs!$E$39</f>
        <v>140.6692887</v>
      </c>
      <c r="M44" s="86">
        <f>M43*Inputs!$E$39</f>
        <v>136.549714</v>
      </c>
      <c r="N44" s="86">
        <f>N43*Inputs!$E$39</f>
        <v>132.5507832</v>
      </c>
      <c r="O44" s="86">
        <f>O43*Inputs!$E$39</f>
        <v>151.2838412</v>
      </c>
      <c r="P44" s="86">
        <f>P43*Inputs!$E$39</f>
        <v>168.8060029</v>
      </c>
      <c r="Q44" s="86">
        <f>Q43*Inputs!$E$39</f>
        <v>163.8624296</v>
      </c>
      <c r="R44" s="86">
        <f>R43*Inputs!$E$39</f>
        <v>159.0636314</v>
      </c>
      <c r="S44" s="86">
        <f>S43*Inputs!$E$39</f>
        <v>154.4053686</v>
      </c>
      <c r="T44" s="86">
        <f>T43*Inputs!$E$39</f>
        <v>149.8835255</v>
      </c>
      <c r="U44" s="86">
        <f>U43*Inputs!$E$39</f>
        <v>145.494107</v>
      </c>
      <c r="V44" s="86">
        <f>V43*Inputs!$E$39</f>
        <v>141.2332349</v>
      </c>
      <c r="W44" s="86">
        <f>W43*Inputs!$E$39</f>
        <v>137.0971447</v>
      </c>
      <c r="X44" s="86">
        <f>X43*Inputs!$E$39</f>
        <v>133.0821821</v>
      </c>
      <c r="Y44" s="86">
        <f>Y43*Inputs!$E$39</f>
        <v>133.0821821</v>
      </c>
      <c r="Z44" s="87">
        <f t="shared" si="32"/>
        <v>1583.764192</v>
      </c>
      <c r="AA44" s="87">
        <f t="shared" si="33"/>
        <v>1769.844433</v>
      </c>
    </row>
    <row r="45" outlineLevel="1">
      <c r="A45" s="6" t="s">
        <v>399</v>
      </c>
      <c r="B45" s="88">
        <v>0.0</v>
      </c>
      <c r="C45" s="86">
        <f>B49*Inputs!$E$42</f>
        <v>0</v>
      </c>
      <c r="D45" s="86">
        <f>C49*Inputs!$E$42</f>
        <v>0</v>
      </c>
      <c r="E45" s="86">
        <f>D49*Inputs!$E$42</f>
        <v>0</v>
      </c>
      <c r="F45" s="86">
        <f>E49*Inputs!$E$42</f>
        <v>0</v>
      </c>
      <c r="G45" s="86">
        <f>F49*Inputs!$E$42</f>
        <v>0</v>
      </c>
      <c r="H45" s="86">
        <f>G49*Inputs!$E$42</f>
        <v>0</v>
      </c>
      <c r="I45" s="86">
        <f>H49*Inputs!$E$42</f>
        <v>0</v>
      </c>
      <c r="J45" s="86">
        <f>I49*Inputs!$E$42</f>
        <v>0</v>
      </c>
      <c r="K45" s="86">
        <f>J49*Inputs!$E$42</f>
        <v>0</v>
      </c>
      <c r="L45" s="86">
        <f>K49*Inputs!$E$42</f>
        <v>0</v>
      </c>
      <c r="M45" s="86">
        <f>L49*Inputs!$E$42</f>
        <v>0</v>
      </c>
      <c r="N45" s="86">
        <f>M49*Inputs!$E$42</f>
        <v>0</v>
      </c>
      <c r="O45" s="86">
        <f>N49*Inputs!$E$42</f>
        <v>0</v>
      </c>
      <c r="P45" s="86">
        <f>O49*Inputs!$E$42</f>
        <v>0</v>
      </c>
      <c r="Q45" s="86">
        <f>P49*Inputs!$E$42</f>
        <v>0</v>
      </c>
      <c r="R45" s="86">
        <f>Q49*Inputs!$E$42</f>
        <v>0</v>
      </c>
      <c r="S45" s="86">
        <f>R49*Inputs!$E$42</f>
        <v>0</v>
      </c>
      <c r="T45" s="86">
        <f>S49*Inputs!$E$42</f>
        <v>0</v>
      </c>
      <c r="U45" s="86">
        <f>T49*Inputs!$E$42</f>
        <v>0</v>
      </c>
      <c r="V45" s="86">
        <f>U49*Inputs!$E$42</f>
        <v>0</v>
      </c>
      <c r="W45" s="86">
        <f>V49*Inputs!$E$42</f>
        <v>0</v>
      </c>
      <c r="X45" s="86">
        <f>W49*Inputs!$E$42</f>
        <v>0</v>
      </c>
      <c r="Y45" s="86">
        <f>X49*Inputs!$E$42</f>
        <v>0</v>
      </c>
      <c r="Z45" s="87"/>
      <c r="AA45" s="87"/>
    </row>
    <row r="46" outlineLevel="1">
      <c r="A46" s="6" t="s">
        <v>400</v>
      </c>
      <c r="B46" s="86">
        <f t="shared" ref="B46:Y46" si="34">B44+B45</f>
        <v>45.22975591</v>
      </c>
      <c r="C46" s="86">
        <f t="shared" si="34"/>
        <v>89.13493444</v>
      </c>
      <c r="D46" s="86">
        <f t="shared" si="34"/>
        <v>130.4297491</v>
      </c>
      <c r="E46" s="86">
        <f t="shared" si="34"/>
        <v>126.6100447</v>
      </c>
      <c r="F46" s="86">
        <f t="shared" si="34"/>
        <v>145.5170804</v>
      </c>
      <c r="G46" s="86">
        <f t="shared" si="34"/>
        <v>163.2081248</v>
      </c>
      <c r="H46" s="86">
        <f t="shared" si="34"/>
        <v>158.4284883</v>
      </c>
      <c r="I46" s="86">
        <f t="shared" si="34"/>
        <v>153.788826</v>
      </c>
      <c r="J46" s="86">
        <f t="shared" si="34"/>
        <v>149.2850386</v>
      </c>
      <c r="K46" s="86">
        <f t="shared" si="34"/>
        <v>144.9131471</v>
      </c>
      <c r="L46" s="86">
        <f t="shared" si="34"/>
        <v>140.6692887</v>
      </c>
      <c r="M46" s="86">
        <f t="shared" si="34"/>
        <v>136.549714</v>
      </c>
      <c r="N46" s="86">
        <f t="shared" si="34"/>
        <v>132.5507832</v>
      </c>
      <c r="O46" s="86">
        <f t="shared" si="34"/>
        <v>151.2838412</v>
      </c>
      <c r="P46" s="86">
        <f t="shared" si="34"/>
        <v>168.8060029</v>
      </c>
      <c r="Q46" s="86">
        <f t="shared" si="34"/>
        <v>163.8624296</v>
      </c>
      <c r="R46" s="86">
        <f t="shared" si="34"/>
        <v>159.0636314</v>
      </c>
      <c r="S46" s="86">
        <f t="shared" si="34"/>
        <v>154.4053686</v>
      </c>
      <c r="T46" s="86">
        <f t="shared" si="34"/>
        <v>149.8835255</v>
      </c>
      <c r="U46" s="86">
        <f t="shared" si="34"/>
        <v>145.494107</v>
      </c>
      <c r="V46" s="86">
        <f t="shared" si="34"/>
        <v>141.2332349</v>
      </c>
      <c r="W46" s="86">
        <f t="shared" si="34"/>
        <v>137.0971447</v>
      </c>
      <c r="X46" s="86">
        <f t="shared" si="34"/>
        <v>133.0821821</v>
      </c>
      <c r="Y46" s="86">
        <f t="shared" si="34"/>
        <v>133.0821821</v>
      </c>
      <c r="Z46" s="87">
        <f t="shared" ref="Z46:Z48" si="35">SUM(B46:M46)</f>
        <v>1583.764192</v>
      </c>
      <c r="AA46" s="87">
        <f t="shared" ref="AA46:AA48" si="36">SUM(N46:Y46)</f>
        <v>1769.844433</v>
      </c>
    </row>
    <row r="47" outlineLevel="1">
      <c r="A47" s="6" t="s">
        <v>401</v>
      </c>
      <c r="B47" s="86">
        <f>Capacity!B23*'Rep capacity'!$B$28</f>
        <v>46.59429454</v>
      </c>
      <c r="C47" s="86">
        <f>Capacity!C23*'Rep capacity'!$B$28</f>
        <v>91.82405046</v>
      </c>
      <c r="D47" s="86">
        <f>Capacity!D23*'Rep capacity'!$B$28</f>
        <v>134.3646904</v>
      </c>
      <c r="E47" s="86">
        <f>Capacity!E23*'Rep capacity'!$B$28</f>
        <v>130.4297491</v>
      </c>
      <c r="F47" s="86">
        <f>Capacity!F23*'Rep capacity'!$B$28</f>
        <v>149.907192</v>
      </c>
      <c r="G47" s="86">
        <f>Capacity!G23*'Rep capacity'!$B$28</f>
        <v>168.1319584</v>
      </c>
      <c r="H47" s="86">
        <f>Capacity!H23*'Rep capacity'!$B$28</f>
        <v>163.2081248</v>
      </c>
      <c r="I47" s="86">
        <f>Capacity!I23*'Rep capacity'!$B$28</f>
        <v>158.4284883</v>
      </c>
      <c r="J47" s="86">
        <f>Capacity!J23*'Rep capacity'!$B$28</f>
        <v>153.788826</v>
      </c>
      <c r="K47" s="86">
        <f>Capacity!K23*'Rep capacity'!$B$28</f>
        <v>149.2850386</v>
      </c>
      <c r="L47" s="86">
        <f>Capacity!L23*'Rep capacity'!$B$28</f>
        <v>144.9131471</v>
      </c>
      <c r="M47" s="86">
        <f>Capacity!M23*'Rep capacity'!$B$28</f>
        <v>140.6692887</v>
      </c>
      <c r="N47" s="86">
        <f>Capacity!N23*'Rep capacity'!$B$28</f>
        <v>136.549714</v>
      </c>
      <c r="O47" s="86">
        <f>Capacity!O23*'Rep capacity'!$B$28</f>
        <v>155.8479305</v>
      </c>
      <c r="P47" s="86">
        <f>Capacity!P23*'Rep capacity'!$B$28</f>
        <v>173.8987191</v>
      </c>
      <c r="Q47" s="86">
        <f>Capacity!Q23*'Rep capacity'!$B$28</f>
        <v>168.8060029</v>
      </c>
      <c r="R47" s="86">
        <f>Capacity!R23*'Rep capacity'!$B$28</f>
        <v>163.8624296</v>
      </c>
      <c r="S47" s="86">
        <f>Capacity!S23*'Rep capacity'!$B$28</f>
        <v>159.0636314</v>
      </c>
      <c r="T47" s="86">
        <f>Capacity!T23*'Rep capacity'!$B$28</f>
        <v>154.4053686</v>
      </c>
      <c r="U47" s="86">
        <f>Capacity!U23*'Rep capacity'!$B$28</f>
        <v>149.8835255</v>
      </c>
      <c r="V47" s="86">
        <f>Capacity!V23*'Rep capacity'!$B$28</f>
        <v>145.494107</v>
      </c>
      <c r="W47" s="86">
        <f>Capacity!W23*'Rep capacity'!$B$28</f>
        <v>141.2332349</v>
      </c>
      <c r="X47" s="86">
        <f>Capacity!X23*'Rep capacity'!$B$28</f>
        <v>137.0971447</v>
      </c>
      <c r="Y47" s="86">
        <f>Capacity!Y23*'Rep capacity'!$B$28</f>
        <v>133.0821821</v>
      </c>
      <c r="Z47" s="87">
        <f t="shared" si="35"/>
        <v>1631.544848</v>
      </c>
      <c r="AA47" s="87">
        <f t="shared" si="36"/>
        <v>1819.22399</v>
      </c>
    </row>
    <row r="48" outlineLevel="1">
      <c r="A48" s="12" t="s">
        <v>402</v>
      </c>
      <c r="B48" s="87">
        <f t="shared" ref="B48:Y48" si="37">MIN(B46,B47)</f>
        <v>45.22975591</v>
      </c>
      <c r="C48" s="87">
        <f t="shared" si="37"/>
        <v>89.13493444</v>
      </c>
      <c r="D48" s="87">
        <f t="shared" si="37"/>
        <v>130.4297491</v>
      </c>
      <c r="E48" s="87">
        <f t="shared" si="37"/>
        <v>126.6100447</v>
      </c>
      <c r="F48" s="87">
        <f t="shared" si="37"/>
        <v>145.5170804</v>
      </c>
      <c r="G48" s="87">
        <f t="shared" si="37"/>
        <v>163.2081248</v>
      </c>
      <c r="H48" s="87">
        <f t="shared" si="37"/>
        <v>158.4284883</v>
      </c>
      <c r="I48" s="87">
        <f t="shared" si="37"/>
        <v>153.788826</v>
      </c>
      <c r="J48" s="87">
        <f t="shared" si="37"/>
        <v>149.2850386</v>
      </c>
      <c r="K48" s="87">
        <f t="shared" si="37"/>
        <v>144.9131471</v>
      </c>
      <c r="L48" s="87">
        <f t="shared" si="37"/>
        <v>140.6692887</v>
      </c>
      <c r="M48" s="87">
        <f t="shared" si="37"/>
        <v>136.549714</v>
      </c>
      <c r="N48" s="87">
        <f t="shared" si="37"/>
        <v>132.5507832</v>
      </c>
      <c r="O48" s="87">
        <f t="shared" si="37"/>
        <v>151.2838412</v>
      </c>
      <c r="P48" s="87">
        <f t="shared" si="37"/>
        <v>168.8060029</v>
      </c>
      <c r="Q48" s="87">
        <f t="shared" si="37"/>
        <v>163.8624296</v>
      </c>
      <c r="R48" s="87">
        <f t="shared" si="37"/>
        <v>159.0636314</v>
      </c>
      <c r="S48" s="87">
        <f t="shared" si="37"/>
        <v>154.4053686</v>
      </c>
      <c r="T48" s="87">
        <f t="shared" si="37"/>
        <v>149.8835255</v>
      </c>
      <c r="U48" s="87">
        <f t="shared" si="37"/>
        <v>145.494107</v>
      </c>
      <c r="V48" s="87">
        <f t="shared" si="37"/>
        <v>141.2332349</v>
      </c>
      <c r="W48" s="87">
        <f t="shared" si="37"/>
        <v>137.0971447</v>
      </c>
      <c r="X48" s="87">
        <f t="shared" si="37"/>
        <v>133.0821821</v>
      </c>
      <c r="Y48" s="87">
        <f t="shared" si="37"/>
        <v>133.0821821</v>
      </c>
      <c r="Z48" s="87">
        <f t="shared" si="35"/>
        <v>1583.764192</v>
      </c>
      <c r="AA48" s="87">
        <f t="shared" si="36"/>
        <v>1769.844433</v>
      </c>
    </row>
    <row r="49" outlineLevel="1">
      <c r="A49" s="6" t="s">
        <v>403</v>
      </c>
      <c r="B49" s="86">
        <f t="shared" ref="B49:Y49" si="38">B46-B48</f>
        <v>0</v>
      </c>
      <c r="C49" s="86">
        <f t="shared" si="38"/>
        <v>0</v>
      </c>
      <c r="D49" s="86">
        <f t="shared" si="38"/>
        <v>0</v>
      </c>
      <c r="E49" s="86">
        <f t="shared" si="38"/>
        <v>0</v>
      </c>
      <c r="F49" s="86">
        <f t="shared" si="38"/>
        <v>0</v>
      </c>
      <c r="G49" s="86">
        <f t="shared" si="38"/>
        <v>0</v>
      </c>
      <c r="H49" s="86">
        <f t="shared" si="38"/>
        <v>0</v>
      </c>
      <c r="I49" s="86">
        <f t="shared" si="38"/>
        <v>0</v>
      </c>
      <c r="J49" s="86">
        <f t="shared" si="38"/>
        <v>0</v>
      </c>
      <c r="K49" s="86">
        <f t="shared" si="38"/>
        <v>0</v>
      </c>
      <c r="L49" s="86">
        <f t="shared" si="38"/>
        <v>0</v>
      </c>
      <c r="M49" s="86">
        <f t="shared" si="38"/>
        <v>0</v>
      </c>
      <c r="N49" s="86">
        <f t="shared" si="38"/>
        <v>0</v>
      </c>
      <c r="O49" s="86">
        <f t="shared" si="38"/>
        <v>0</v>
      </c>
      <c r="P49" s="86">
        <f t="shared" si="38"/>
        <v>0</v>
      </c>
      <c r="Q49" s="86">
        <f t="shared" si="38"/>
        <v>0</v>
      </c>
      <c r="R49" s="86">
        <f t="shared" si="38"/>
        <v>0</v>
      </c>
      <c r="S49" s="86">
        <f t="shared" si="38"/>
        <v>0</v>
      </c>
      <c r="T49" s="86">
        <f t="shared" si="38"/>
        <v>0</v>
      </c>
      <c r="U49" s="86">
        <f t="shared" si="38"/>
        <v>0</v>
      </c>
      <c r="V49" s="86">
        <f t="shared" si="38"/>
        <v>0</v>
      </c>
      <c r="W49" s="86">
        <f t="shared" si="38"/>
        <v>0</v>
      </c>
      <c r="X49" s="86">
        <f t="shared" si="38"/>
        <v>0</v>
      </c>
      <c r="Y49" s="86">
        <f t="shared" si="38"/>
        <v>0</v>
      </c>
      <c r="Z49" s="87">
        <f>M49</f>
        <v>0</v>
      </c>
      <c r="AA49" s="87">
        <f>Y49</f>
        <v>0</v>
      </c>
    </row>
    <row r="50" outlineLevel="1">
      <c r="A50" s="6" t="s">
        <v>404</v>
      </c>
      <c r="B50" s="88">
        <v>0.0</v>
      </c>
      <c r="C50" s="86">
        <f>B49*(1-Inputs!$E$42)</f>
        <v>0</v>
      </c>
      <c r="D50" s="86">
        <f>C49*(1-Inputs!$E$42)</f>
        <v>0</v>
      </c>
      <c r="E50" s="86">
        <f>D49*(1-Inputs!$E$42)</f>
        <v>0</v>
      </c>
      <c r="F50" s="86">
        <f>E49*(1-Inputs!$E$42)</f>
        <v>0</v>
      </c>
      <c r="G50" s="86">
        <f>F49*(1-Inputs!$E$42)</f>
        <v>0</v>
      </c>
      <c r="H50" s="86">
        <f>G49*(1-Inputs!$E$42)</f>
        <v>0</v>
      </c>
      <c r="I50" s="86">
        <f>H49*(1-Inputs!$E$42)</f>
        <v>0</v>
      </c>
      <c r="J50" s="86">
        <f>I49*(1-Inputs!$E$42)</f>
        <v>0</v>
      </c>
      <c r="K50" s="86">
        <f>J49*(1-Inputs!$E$42)</f>
        <v>0</v>
      </c>
      <c r="L50" s="86">
        <f>K49*(1-Inputs!$E$42)</f>
        <v>0</v>
      </c>
      <c r="M50" s="86">
        <f>L49*(1-Inputs!$E$42)</f>
        <v>0</v>
      </c>
      <c r="N50" s="86">
        <f>M49*(1-Inputs!$E$42)</f>
        <v>0</v>
      </c>
      <c r="O50" s="86">
        <f>N49*(1-Inputs!$E$42)</f>
        <v>0</v>
      </c>
      <c r="P50" s="86">
        <f>O49*(1-Inputs!$E$42)</f>
        <v>0</v>
      </c>
      <c r="Q50" s="86">
        <f>P49*(1-Inputs!$E$42)</f>
        <v>0</v>
      </c>
      <c r="R50" s="86">
        <f>Q49*(1-Inputs!$E$42)</f>
        <v>0</v>
      </c>
      <c r="S50" s="86">
        <f>R49*(1-Inputs!$E$42)</f>
        <v>0</v>
      </c>
      <c r="T50" s="86">
        <f>S49*(1-Inputs!$E$42)</f>
        <v>0</v>
      </c>
      <c r="U50" s="86">
        <f>T49*(1-Inputs!$E$42)</f>
        <v>0</v>
      </c>
      <c r="V50" s="86">
        <f>U49*(1-Inputs!$E$42)</f>
        <v>0</v>
      </c>
      <c r="W50" s="86">
        <f>V49*(1-Inputs!$E$42)</f>
        <v>0</v>
      </c>
      <c r="X50" s="86">
        <f>W49*(1-Inputs!$E$42)</f>
        <v>0</v>
      </c>
      <c r="Y50" s="86">
        <f>X49*(1-Inputs!$E$42)</f>
        <v>0</v>
      </c>
      <c r="Z50" s="87">
        <f t="shared" ref="Z50:Z62" si="39">SUM(B50:M50)</f>
        <v>0</v>
      </c>
      <c r="AA50" s="87">
        <f t="shared" ref="AA50:AA62" si="40">SUM(N50:Y50)</f>
        <v>0</v>
      </c>
    </row>
    <row r="51" outlineLevel="1">
      <c r="A51" s="6" t="s">
        <v>405</v>
      </c>
      <c r="B51" s="70">
        <f>B48*Inputs!$E$25</f>
        <v>217102.8284</v>
      </c>
      <c r="C51" s="70">
        <f>C48*Inputs!$E$25</f>
        <v>427847.6853</v>
      </c>
      <c r="D51" s="70">
        <f>D48*Inputs!$E$25</f>
        <v>626062.7958</v>
      </c>
      <c r="E51" s="70">
        <f>E48*Inputs!$E$25</f>
        <v>607728.2148</v>
      </c>
      <c r="F51" s="70">
        <f>F48*Inputs!$E$25</f>
        <v>698481.9859</v>
      </c>
      <c r="G51" s="70">
        <f>G48*Inputs!$E$25</f>
        <v>783398.9989</v>
      </c>
      <c r="H51" s="70">
        <f>H48*Inputs!$E$25</f>
        <v>760456.7438</v>
      </c>
      <c r="I51" s="70">
        <f>I48*Inputs!$E$25</f>
        <v>738186.3647</v>
      </c>
      <c r="J51" s="70">
        <f>J48*Inputs!$E$25</f>
        <v>716568.1855</v>
      </c>
      <c r="K51" s="70">
        <f>K48*Inputs!$E$25</f>
        <v>695583.1061</v>
      </c>
      <c r="L51" s="70">
        <f>L48*Inputs!$E$25</f>
        <v>675212.5859</v>
      </c>
      <c r="M51" s="70">
        <f>M48*Inputs!$E$25</f>
        <v>655438.6272</v>
      </c>
      <c r="N51" s="70">
        <f>N48*Inputs!$E$25</f>
        <v>636243.7594</v>
      </c>
      <c r="O51" s="70">
        <f>O48*Inputs!$E$25</f>
        <v>726162.4377</v>
      </c>
      <c r="P51" s="70">
        <f>P48*Inputs!$E$25</f>
        <v>810268.814</v>
      </c>
      <c r="Q51" s="70">
        <f>Q48*Inputs!$E$25</f>
        <v>786539.662</v>
      </c>
      <c r="R51" s="70">
        <f>R48*Inputs!$E$25</f>
        <v>763505.4309</v>
      </c>
      <c r="S51" s="70">
        <f>S48*Inputs!$E$25</f>
        <v>741145.7694</v>
      </c>
      <c r="T51" s="70">
        <f>T48*Inputs!$E$25</f>
        <v>719440.9224</v>
      </c>
      <c r="U51" s="70">
        <f>U48*Inputs!$E$25</f>
        <v>698371.7134</v>
      </c>
      <c r="V51" s="70">
        <f>V48*Inputs!$E$25</f>
        <v>677919.5274</v>
      </c>
      <c r="W51" s="70">
        <f>W48*Inputs!$E$25</f>
        <v>658066.2945</v>
      </c>
      <c r="X51" s="70">
        <f>X48*Inputs!$E$25</f>
        <v>638794.474</v>
      </c>
      <c r="Y51" s="70">
        <f>Y48*Inputs!$E$25</f>
        <v>638794.474</v>
      </c>
      <c r="Z51" s="71">
        <f t="shared" si="39"/>
        <v>7602068.122</v>
      </c>
      <c r="AA51" s="71">
        <f t="shared" si="40"/>
        <v>8495253.279</v>
      </c>
    </row>
    <row r="52" outlineLevel="1">
      <c r="A52" s="6" t="s">
        <v>406</v>
      </c>
      <c r="B52" s="70">
        <f>IF(B$2&lt;=MAX(1,Inputs!$E$30),Inputs!$E$41/MAX(1,Inputs!$E$30),0)</f>
        <v>230400</v>
      </c>
      <c r="C52" s="70">
        <f>IF(C$2&lt;=MAX(1,Inputs!$E$30),Inputs!$E$41/MAX(1,Inputs!$E$30),0)</f>
        <v>0</v>
      </c>
      <c r="D52" s="70">
        <f>IF(D$2&lt;=MAX(1,Inputs!$E$30),Inputs!$E$41/MAX(1,Inputs!$E$30),0)</f>
        <v>0</v>
      </c>
      <c r="E52" s="70">
        <f>IF(E$2&lt;=MAX(1,Inputs!$E$30),Inputs!$E$41/MAX(1,Inputs!$E$30),0)</f>
        <v>0</v>
      </c>
      <c r="F52" s="70">
        <f>IF(F$2&lt;=MAX(1,Inputs!$E$30),Inputs!$E$41/MAX(1,Inputs!$E$30),0)</f>
        <v>0</v>
      </c>
      <c r="G52" s="70">
        <f>IF(G$2&lt;=MAX(1,Inputs!$E$30),Inputs!$E$41/MAX(1,Inputs!$E$30),0)</f>
        <v>0</v>
      </c>
      <c r="H52" s="70">
        <f>IF(H$2&lt;=MAX(1,Inputs!$E$30),Inputs!$E$41/MAX(1,Inputs!$E$30),0)</f>
        <v>0</v>
      </c>
      <c r="I52" s="70">
        <f>IF(I$2&lt;=MAX(1,Inputs!$E$30),Inputs!$E$41/MAX(1,Inputs!$E$30),0)</f>
        <v>0</v>
      </c>
      <c r="J52" s="70">
        <f>IF(J$2&lt;=MAX(1,Inputs!$E$30),Inputs!$E$41/MAX(1,Inputs!$E$30),0)</f>
        <v>0</v>
      </c>
      <c r="K52" s="70">
        <f>IF(K$2&lt;=MAX(1,Inputs!$E$30),Inputs!$E$41/MAX(1,Inputs!$E$30),0)</f>
        <v>0</v>
      </c>
      <c r="L52" s="70">
        <f>IF(L$2&lt;=MAX(1,Inputs!$E$30),Inputs!$E$41/MAX(1,Inputs!$E$30),0)</f>
        <v>0</v>
      </c>
      <c r="M52" s="70">
        <f>IF(M$2&lt;=MAX(1,Inputs!$E$30),Inputs!$E$41/MAX(1,Inputs!$E$30),0)</f>
        <v>0</v>
      </c>
      <c r="N52" s="70">
        <f>IF(N$2&lt;=MAX(1,Inputs!$E$30),Inputs!$E$41/MAX(1,Inputs!$E$30),0)</f>
        <v>0</v>
      </c>
      <c r="O52" s="70">
        <f>IF(O$2&lt;=MAX(1,Inputs!$E$30),Inputs!$E$41/MAX(1,Inputs!$E$30),0)</f>
        <v>0</v>
      </c>
      <c r="P52" s="70">
        <f>IF(P$2&lt;=MAX(1,Inputs!$E$30),Inputs!$E$41/MAX(1,Inputs!$E$30),0)</f>
        <v>0</v>
      </c>
      <c r="Q52" s="70">
        <f>IF(Q$2&lt;=MAX(1,Inputs!$E$30),Inputs!$E$41/MAX(1,Inputs!$E$30),0)</f>
        <v>0</v>
      </c>
      <c r="R52" s="70">
        <f>IF(R$2&lt;=MAX(1,Inputs!$E$30),Inputs!$E$41/MAX(1,Inputs!$E$30),0)</f>
        <v>0</v>
      </c>
      <c r="S52" s="70">
        <f>IF(S$2&lt;=MAX(1,Inputs!$E$30),Inputs!$E$41/MAX(1,Inputs!$E$30),0)</f>
        <v>0</v>
      </c>
      <c r="T52" s="70">
        <f>IF(T$2&lt;=MAX(1,Inputs!$E$30),Inputs!$E$41/MAX(1,Inputs!$E$30),0)</f>
        <v>0</v>
      </c>
      <c r="U52" s="70">
        <f>IF(U$2&lt;=MAX(1,Inputs!$E$30),Inputs!$E$41/MAX(1,Inputs!$E$30),0)</f>
        <v>0</v>
      </c>
      <c r="V52" s="70">
        <f>IF(V$2&lt;=MAX(1,Inputs!$E$30),Inputs!$E$41/MAX(1,Inputs!$E$30),0)</f>
        <v>0</v>
      </c>
      <c r="W52" s="70">
        <f>IF(W$2&lt;=MAX(1,Inputs!$E$30),Inputs!$E$41/MAX(1,Inputs!$E$30),0)</f>
        <v>0</v>
      </c>
      <c r="X52" s="70">
        <f>IF(X$2&lt;=MAX(1,Inputs!$E$30),Inputs!$E$41/MAX(1,Inputs!$E$30),0)</f>
        <v>0</v>
      </c>
      <c r="Y52" s="70">
        <f>IF(Y$2&lt;=MAX(1,Inputs!$E$30),Inputs!$E$41/MAX(1,Inputs!$E$30),0)</f>
        <v>0</v>
      </c>
      <c r="Z52" s="71">
        <f t="shared" si="39"/>
        <v>230400</v>
      </c>
      <c r="AA52" s="71">
        <f t="shared" si="40"/>
        <v>0</v>
      </c>
    </row>
    <row r="53" outlineLevel="1">
      <c r="A53" s="6" t="s">
        <v>407</v>
      </c>
      <c r="B53" s="70">
        <f>IF(Inputs!$E$24=0,0,Capacity!B28/Inputs!$E$24)</f>
        <v>0</v>
      </c>
      <c r="C53" s="70">
        <f>IF(Inputs!$E$24=0,0,Capacity!C28/Inputs!$E$24)</f>
        <v>0</v>
      </c>
      <c r="D53" s="70">
        <f>IF(Inputs!$E$24=0,0,Capacity!D28/Inputs!$E$24)</f>
        <v>0</v>
      </c>
      <c r="E53" s="70">
        <f>IF(Inputs!$E$24=0,0,Capacity!E28/Inputs!$E$24)</f>
        <v>0</v>
      </c>
      <c r="F53" s="70">
        <f>IF(Inputs!$E$24=0,0,Capacity!F28/Inputs!$E$24)</f>
        <v>0</v>
      </c>
      <c r="G53" s="70">
        <f>IF(Inputs!$E$24=0,0,Capacity!G28/Inputs!$E$24)</f>
        <v>0</v>
      </c>
      <c r="H53" s="70">
        <f>IF(Inputs!$E$24=0,0,Capacity!H28/Inputs!$E$24)</f>
        <v>0</v>
      </c>
      <c r="I53" s="70">
        <f>IF(Inputs!$E$24=0,0,Capacity!I28/Inputs!$E$24)</f>
        <v>0</v>
      </c>
      <c r="J53" s="70">
        <f>IF(Inputs!$E$24=0,0,Capacity!J28/Inputs!$E$24)</f>
        <v>0</v>
      </c>
      <c r="K53" s="70">
        <f>IF(Inputs!$E$24=0,0,Capacity!K28/Inputs!$E$24)</f>
        <v>0</v>
      </c>
      <c r="L53" s="70">
        <f>IF(Inputs!$E$24=0,0,Capacity!L28/Inputs!$E$24)</f>
        <v>0</v>
      </c>
      <c r="M53" s="70">
        <f>IF(Inputs!$E$24=0,0,Capacity!M28/Inputs!$E$24)</f>
        <v>0</v>
      </c>
      <c r="N53" s="70">
        <f>IF(Inputs!$E$24=0,0,Capacity!N28/Inputs!$E$24)</f>
        <v>0</v>
      </c>
      <c r="O53" s="70">
        <f>IF(Inputs!$E$24=0,0,Capacity!O28/Inputs!$E$24)</f>
        <v>0</v>
      </c>
      <c r="P53" s="70">
        <f>IF(Inputs!$E$24=0,0,Capacity!P28/Inputs!$E$24)</f>
        <v>0</v>
      </c>
      <c r="Q53" s="70">
        <f>IF(Inputs!$E$24=0,0,Capacity!Q28/Inputs!$E$24)</f>
        <v>0</v>
      </c>
      <c r="R53" s="70">
        <f>IF(Inputs!$E$24=0,0,Capacity!R28/Inputs!$E$24)</f>
        <v>0</v>
      </c>
      <c r="S53" s="70">
        <f>IF(Inputs!$E$24=0,0,Capacity!S28/Inputs!$E$24)</f>
        <v>0</v>
      </c>
      <c r="T53" s="70">
        <f>IF(Inputs!$E$24=0,0,Capacity!T28/Inputs!$E$24)</f>
        <v>0</v>
      </c>
      <c r="U53" s="70">
        <f>IF(Inputs!$E$24=0,0,Capacity!U28/Inputs!$E$24)</f>
        <v>0</v>
      </c>
      <c r="V53" s="70">
        <f>IF(Inputs!$E$24=0,0,Capacity!V28/Inputs!$E$24)</f>
        <v>0</v>
      </c>
      <c r="W53" s="70">
        <f>IF(Inputs!$E$24=0,0,Capacity!W28/Inputs!$E$24)</f>
        <v>0</v>
      </c>
      <c r="X53" s="70">
        <f>IF(Inputs!$E$24=0,0,Capacity!X28/Inputs!$E$24)</f>
        <v>0</v>
      </c>
      <c r="Y53" s="70">
        <f>IF(Inputs!$E$24=0,0,Capacity!Y28/Inputs!$E$24)</f>
        <v>0</v>
      </c>
      <c r="Z53" s="71">
        <f t="shared" si="39"/>
        <v>0</v>
      </c>
      <c r="AA53" s="71">
        <f t="shared" si="40"/>
        <v>0</v>
      </c>
    </row>
    <row r="54" outlineLevel="1">
      <c r="A54" s="6" t="s">
        <v>408</v>
      </c>
      <c r="B54" s="70">
        <f t="array" ref="B54">IF(B$2-Inputs!$E$30&lt;1,0,INDEX($B51:$Y51,1,B$2-Inputs!$E$30))+B52+B53</f>
        <v>230400</v>
      </c>
      <c r="C54" s="70">
        <f t="array" ref="C54">IF(C$2-Inputs!$E$30&lt;1,0,INDEX($B51:$Y51,1,C$2-Inputs!$E$30))+C52+C53</f>
        <v>217102.8284</v>
      </c>
      <c r="D54" s="70">
        <f t="array" ref="D54">IF(D$2-Inputs!$E$30&lt;1,0,INDEX($B51:$Y51,1,D$2-Inputs!$E$30))+D52+D53</f>
        <v>427847.6853</v>
      </c>
      <c r="E54" s="70">
        <f t="array" ref="E54">IF(E$2-Inputs!$E$30&lt;1,0,INDEX($B51:$Y51,1,E$2-Inputs!$E$30))+E52+E53</f>
        <v>626062.7958</v>
      </c>
      <c r="F54" s="70">
        <f t="array" ref="F54">IF(F$2-Inputs!$E$30&lt;1,0,INDEX($B51:$Y51,1,F$2-Inputs!$E$30))+F52+F53</f>
        <v>607728.2148</v>
      </c>
      <c r="G54" s="70">
        <f t="array" ref="G54">IF(G$2-Inputs!$E$30&lt;1,0,INDEX($B51:$Y51,1,G$2-Inputs!$E$30))+G52+G53</f>
        <v>698481.9859</v>
      </c>
      <c r="H54" s="70">
        <f t="array" ref="H54">IF(H$2-Inputs!$E$30&lt;1,0,INDEX($B51:$Y51,1,H$2-Inputs!$E$30))+H52+H53</f>
        <v>783398.9989</v>
      </c>
      <c r="I54" s="70">
        <f t="array" ref="I54">IF(I$2-Inputs!$E$30&lt;1,0,INDEX($B51:$Y51,1,I$2-Inputs!$E$30))+I52+I53</f>
        <v>760456.7438</v>
      </c>
      <c r="J54" s="70">
        <f t="array" ref="J54">IF(J$2-Inputs!$E$30&lt;1,0,INDEX($B51:$Y51,1,J$2-Inputs!$E$30))+J52+J53</f>
        <v>738186.3647</v>
      </c>
      <c r="K54" s="70">
        <f t="array" ref="K54">IF(K$2-Inputs!$E$30&lt;1,0,INDEX($B51:$Y51,1,K$2-Inputs!$E$30))+K52+K53</f>
        <v>716568.1855</v>
      </c>
      <c r="L54" s="70">
        <f t="array" ref="L54">IF(L$2-Inputs!$E$30&lt;1,0,INDEX($B51:$Y51,1,L$2-Inputs!$E$30))+L52+L53</f>
        <v>695583.1061</v>
      </c>
      <c r="M54" s="70">
        <f t="array" ref="M54">IF(M$2-Inputs!$E$30&lt;1,0,INDEX($B51:$Y51,1,M$2-Inputs!$E$30))+M52+M53</f>
        <v>675212.5859</v>
      </c>
      <c r="N54" s="70">
        <f t="array" ref="N54">IF(N$2-Inputs!$E$30&lt;1,0,INDEX($B51:$Y51,1,N$2-Inputs!$E$30))+N52+N53</f>
        <v>655438.6272</v>
      </c>
      <c r="O54" s="70">
        <f t="array" ref="O54">IF(O$2-Inputs!$E$30&lt;1,0,INDEX($B51:$Y51,1,O$2-Inputs!$E$30))+O52+O53</f>
        <v>636243.7594</v>
      </c>
      <c r="P54" s="70">
        <f t="array" ref="P54">IF(P$2-Inputs!$E$30&lt;1,0,INDEX($B51:$Y51,1,P$2-Inputs!$E$30))+P52+P53</f>
        <v>726162.4377</v>
      </c>
      <c r="Q54" s="70">
        <f t="array" ref="Q54">IF(Q$2-Inputs!$E$30&lt;1,0,INDEX($B51:$Y51,1,Q$2-Inputs!$E$30))+Q52+Q53</f>
        <v>810268.814</v>
      </c>
      <c r="R54" s="70">
        <f t="array" ref="R54">IF(R$2-Inputs!$E$30&lt;1,0,INDEX($B51:$Y51,1,R$2-Inputs!$E$30))+R52+R53</f>
        <v>786539.662</v>
      </c>
      <c r="S54" s="70">
        <f t="array" ref="S54">IF(S$2-Inputs!$E$30&lt;1,0,INDEX($B51:$Y51,1,S$2-Inputs!$E$30))+S52+S53</f>
        <v>763505.4309</v>
      </c>
      <c r="T54" s="70">
        <f t="array" ref="T54">IF(T$2-Inputs!$E$30&lt;1,0,INDEX($B51:$Y51,1,T$2-Inputs!$E$30))+T52+T53</f>
        <v>741145.7694</v>
      </c>
      <c r="U54" s="70">
        <f t="array" ref="U54">IF(U$2-Inputs!$E$30&lt;1,0,INDEX($B51:$Y51,1,U$2-Inputs!$E$30))+U52+U53</f>
        <v>719440.9224</v>
      </c>
      <c r="V54" s="70">
        <f t="array" ref="V54">IF(V$2-Inputs!$E$30&lt;1,0,INDEX($B51:$Y51,1,V$2-Inputs!$E$30))+V52+V53</f>
        <v>698371.7134</v>
      </c>
      <c r="W54" s="70">
        <f t="array" ref="W54">IF(W$2-Inputs!$E$30&lt;1,0,INDEX($B51:$Y51,1,W$2-Inputs!$E$30))+W52+W53</f>
        <v>677919.5274</v>
      </c>
      <c r="X54" s="70">
        <f t="array" ref="X54">IF(X$2-Inputs!$E$30&lt;1,0,INDEX($B51:$Y51,1,X$2-Inputs!$E$30))+X52+X53</f>
        <v>658066.2945</v>
      </c>
      <c r="Y54" s="70">
        <f t="array" ref="Y54">IF(Y$2-Inputs!$E$30&lt;1,0,INDEX($B51:$Y51,1,Y$2-Inputs!$E$30))+Y52+Y53</f>
        <v>638794.474</v>
      </c>
      <c r="Z54" s="71">
        <f t="shared" si="39"/>
        <v>7177029.495</v>
      </c>
      <c r="AA54" s="71">
        <f t="shared" si="40"/>
        <v>8511897.432</v>
      </c>
    </row>
    <row r="55" outlineLevel="1">
      <c r="A55" s="6" t="s">
        <v>409</v>
      </c>
      <c r="B55" s="86">
        <f>IF(Inputs!$E$25=0,0,B54*Inputs!$E$24/Inputs!$E$25)</f>
        <v>14.4</v>
      </c>
      <c r="C55" s="86">
        <f>IF(Inputs!$E$25=0,0,C54*Inputs!$E$24/Inputs!$E$25)</f>
        <v>13.56892677</v>
      </c>
      <c r="D55" s="86">
        <f>IF(Inputs!$E$25=0,0,D54*Inputs!$E$24/Inputs!$E$25)</f>
        <v>26.74048033</v>
      </c>
      <c r="E55" s="86">
        <f>IF(Inputs!$E$25=0,0,E54*Inputs!$E$24/Inputs!$E$25)</f>
        <v>39.12892474</v>
      </c>
      <c r="F55" s="86">
        <f>IF(Inputs!$E$25=0,0,F54*Inputs!$E$24/Inputs!$E$25)</f>
        <v>37.98301342</v>
      </c>
      <c r="G55" s="86">
        <f>IF(Inputs!$E$25=0,0,G54*Inputs!$E$24/Inputs!$E$25)</f>
        <v>43.65512412</v>
      </c>
      <c r="H55" s="86">
        <f>IF(Inputs!$E$25=0,0,H54*Inputs!$E$24/Inputs!$E$25)</f>
        <v>48.96243743</v>
      </c>
      <c r="I55" s="86">
        <f>IF(Inputs!$E$25=0,0,I54*Inputs!$E$24/Inputs!$E$25)</f>
        <v>47.52854648</v>
      </c>
      <c r="J55" s="86">
        <f>IF(Inputs!$E$25=0,0,J54*Inputs!$E$24/Inputs!$E$25)</f>
        <v>46.13664779</v>
      </c>
      <c r="K55" s="86">
        <f>IF(Inputs!$E$25=0,0,K54*Inputs!$E$24/Inputs!$E$25)</f>
        <v>44.78551159</v>
      </c>
      <c r="L55" s="86">
        <f>IF(Inputs!$E$25=0,0,L54*Inputs!$E$24/Inputs!$E$25)</f>
        <v>43.47394413</v>
      </c>
      <c r="M55" s="86">
        <f>IF(Inputs!$E$25=0,0,M54*Inputs!$E$24/Inputs!$E$25)</f>
        <v>42.20078662</v>
      </c>
      <c r="N55" s="86">
        <f>IF(Inputs!$E$25=0,0,N54*Inputs!$E$24/Inputs!$E$25)</f>
        <v>40.9649142</v>
      </c>
      <c r="O55" s="86">
        <f>IF(Inputs!$E$25=0,0,O54*Inputs!$E$24/Inputs!$E$25)</f>
        <v>39.76523496</v>
      </c>
      <c r="P55" s="86">
        <f>IF(Inputs!$E$25=0,0,P54*Inputs!$E$24/Inputs!$E$25)</f>
        <v>45.38515235</v>
      </c>
      <c r="Q55" s="86">
        <f>IF(Inputs!$E$25=0,0,Q54*Inputs!$E$24/Inputs!$E$25)</f>
        <v>50.64180087</v>
      </c>
      <c r="R55" s="86">
        <f>IF(Inputs!$E$25=0,0,R54*Inputs!$E$24/Inputs!$E$25)</f>
        <v>49.15872888</v>
      </c>
      <c r="S55" s="86">
        <f>IF(Inputs!$E$25=0,0,S54*Inputs!$E$24/Inputs!$E$25)</f>
        <v>47.71908943</v>
      </c>
      <c r="T55" s="86">
        <f>IF(Inputs!$E$25=0,0,T54*Inputs!$E$24/Inputs!$E$25)</f>
        <v>46.32161059</v>
      </c>
      <c r="U55" s="86">
        <f>IF(Inputs!$E$25=0,0,U54*Inputs!$E$24/Inputs!$E$25)</f>
        <v>44.96505765</v>
      </c>
      <c r="V55" s="86">
        <f>IF(Inputs!$E$25=0,0,V54*Inputs!$E$24/Inputs!$E$25)</f>
        <v>43.64823209</v>
      </c>
      <c r="W55" s="86">
        <f>IF(Inputs!$E$25=0,0,W54*Inputs!$E$24/Inputs!$E$25)</f>
        <v>42.36997046</v>
      </c>
      <c r="X55" s="86">
        <f>IF(Inputs!$E$25=0,0,X54*Inputs!$E$24/Inputs!$E$25)</f>
        <v>41.12914341</v>
      </c>
      <c r="Y55" s="86">
        <f>IF(Inputs!$E$25=0,0,Y54*Inputs!$E$24/Inputs!$E$25)</f>
        <v>39.92465463</v>
      </c>
      <c r="Z55" s="87">
        <f t="shared" si="39"/>
        <v>448.5643434</v>
      </c>
      <c r="AA55" s="87">
        <f t="shared" si="40"/>
        <v>531.9935895</v>
      </c>
    </row>
    <row r="56" outlineLevel="1">
      <c r="A56" s="6" t="s">
        <v>410</v>
      </c>
      <c r="B56" s="70">
        <f>B54*Inputs!$E$24</f>
        <v>69120</v>
      </c>
      <c r="C56" s="70">
        <f>C54*Inputs!$E$24</f>
        <v>65130.84852</v>
      </c>
      <c r="D56" s="70">
        <f>D54*Inputs!$E$24</f>
        <v>128354.3056</v>
      </c>
      <c r="E56" s="70">
        <f>E54*Inputs!$E$24</f>
        <v>187818.8387</v>
      </c>
      <c r="F56" s="70">
        <f>F54*Inputs!$E$24</f>
        <v>182318.4644</v>
      </c>
      <c r="G56" s="70">
        <f>G54*Inputs!$E$24</f>
        <v>209544.5958</v>
      </c>
      <c r="H56" s="70">
        <f>H54*Inputs!$E$24</f>
        <v>235019.6997</v>
      </c>
      <c r="I56" s="70">
        <f>I54*Inputs!$E$24</f>
        <v>228137.0231</v>
      </c>
      <c r="J56" s="70">
        <f>J54*Inputs!$E$24</f>
        <v>221455.9094</v>
      </c>
      <c r="K56" s="70">
        <f>K54*Inputs!$E$24</f>
        <v>214970.4556</v>
      </c>
      <c r="L56" s="70">
        <f>L54*Inputs!$E$24</f>
        <v>208674.9318</v>
      </c>
      <c r="M56" s="70">
        <f>M54*Inputs!$E$24</f>
        <v>202563.7758</v>
      </c>
      <c r="N56" s="70">
        <f>N54*Inputs!$E$24</f>
        <v>196631.5882</v>
      </c>
      <c r="O56" s="70">
        <f>O54*Inputs!$E$24</f>
        <v>190873.1278</v>
      </c>
      <c r="P56" s="70">
        <f>P54*Inputs!$E$24</f>
        <v>217848.7313</v>
      </c>
      <c r="Q56" s="70">
        <f>Q54*Inputs!$E$24</f>
        <v>243080.6442</v>
      </c>
      <c r="R56" s="70">
        <f>R54*Inputs!$E$24</f>
        <v>235961.8986</v>
      </c>
      <c r="S56" s="70">
        <f>S54*Inputs!$E$24</f>
        <v>229051.6293</v>
      </c>
      <c r="T56" s="70">
        <f>T54*Inputs!$E$24</f>
        <v>222343.7308</v>
      </c>
      <c r="U56" s="70">
        <f>U54*Inputs!$E$24</f>
        <v>215832.2767</v>
      </c>
      <c r="V56" s="70">
        <f>V54*Inputs!$E$24</f>
        <v>209511.514</v>
      </c>
      <c r="W56" s="70">
        <f>W54*Inputs!$E$24</f>
        <v>203375.8582</v>
      </c>
      <c r="X56" s="70">
        <f>X54*Inputs!$E$24</f>
        <v>197419.8883</v>
      </c>
      <c r="Y56" s="70">
        <f>Y54*Inputs!$E$24</f>
        <v>191638.3422</v>
      </c>
      <c r="Z56" s="71">
        <f t="shared" si="39"/>
        <v>2153108.849</v>
      </c>
      <c r="AA56" s="71">
        <f t="shared" si="40"/>
        <v>2553569.23</v>
      </c>
    </row>
    <row r="57" outlineLevel="1">
      <c r="A57" s="38" t="s">
        <v>411</v>
      </c>
      <c r="B57" s="77">
        <f>Capacity!B15</f>
        <v>67095.78414</v>
      </c>
      <c r="C57" s="77">
        <f>Capacity!C15</f>
        <v>65130.84852</v>
      </c>
      <c r="D57" s="77">
        <f>Capacity!D15</f>
        <v>128354.3056</v>
      </c>
      <c r="E57" s="77">
        <f>Capacity!E15</f>
        <v>187818.8387</v>
      </c>
      <c r="F57" s="77">
        <f>Capacity!F15</f>
        <v>182318.4644</v>
      </c>
      <c r="G57" s="77">
        <f>Capacity!G15</f>
        <v>209544.5958</v>
      </c>
      <c r="H57" s="77">
        <f>Capacity!H15</f>
        <v>235019.6997</v>
      </c>
      <c r="I57" s="77">
        <f>Capacity!I15</f>
        <v>228137.0231</v>
      </c>
      <c r="J57" s="77">
        <f>Capacity!J15</f>
        <v>221455.9094</v>
      </c>
      <c r="K57" s="77">
        <f>Capacity!K15</f>
        <v>214970.4556</v>
      </c>
      <c r="L57" s="77">
        <f>Capacity!L15</f>
        <v>208674.9318</v>
      </c>
      <c r="M57" s="77">
        <f>Capacity!M15</f>
        <v>202563.7758</v>
      </c>
      <c r="N57" s="77">
        <f>Capacity!N15</f>
        <v>196631.5882</v>
      </c>
      <c r="O57" s="77">
        <f>Capacity!O15</f>
        <v>190873.1278</v>
      </c>
      <c r="P57" s="77">
        <f>Capacity!P15</f>
        <v>217848.7313</v>
      </c>
      <c r="Q57" s="77">
        <f>Capacity!Q15</f>
        <v>243080.6442</v>
      </c>
      <c r="R57" s="77">
        <f>Capacity!R15</f>
        <v>235961.8986</v>
      </c>
      <c r="S57" s="77">
        <f>Capacity!S15</f>
        <v>229051.6293</v>
      </c>
      <c r="T57" s="77">
        <f>Capacity!T15</f>
        <v>222343.7308</v>
      </c>
      <c r="U57" s="77">
        <f>Capacity!U15</f>
        <v>215832.2767</v>
      </c>
      <c r="V57" s="77">
        <f>Capacity!V15</f>
        <v>209511.514</v>
      </c>
      <c r="W57" s="77">
        <f>Capacity!W15</f>
        <v>203375.8582</v>
      </c>
      <c r="X57" s="77">
        <f>Capacity!X15</f>
        <v>197419.8883</v>
      </c>
      <c r="Y57" s="77">
        <f>Capacity!Y15</f>
        <v>191638.3422</v>
      </c>
      <c r="Z57" s="78">
        <f t="shared" si="39"/>
        <v>2151084.633</v>
      </c>
      <c r="AA57" s="78">
        <f t="shared" si="40"/>
        <v>2553569.23</v>
      </c>
    </row>
    <row r="58" outlineLevel="1">
      <c r="A58" s="6" t="s">
        <v>412</v>
      </c>
      <c r="B58" s="86">
        <f>IF(Inputs!$E$25=0,0,(B57-Capacity!B16)/Inputs!$E$25)</f>
        <v>13.97828836</v>
      </c>
      <c r="C58" s="86">
        <f>IF(Inputs!$E$25=0,0,(C57-Capacity!C16)/Inputs!$E$25)</f>
        <v>13.56892677</v>
      </c>
      <c r="D58" s="86">
        <f>IF(Inputs!$E$25=0,0,(D57-Capacity!D16)/Inputs!$E$25)</f>
        <v>26.74048033</v>
      </c>
      <c r="E58" s="86">
        <f>IF(Inputs!$E$25=0,0,(E57-Capacity!E16)/Inputs!$E$25)</f>
        <v>39.12892474</v>
      </c>
      <c r="F58" s="86">
        <f>IF(Inputs!$E$25=0,0,(F57-Capacity!F16)/Inputs!$E$25)</f>
        <v>37.98301342</v>
      </c>
      <c r="G58" s="86">
        <f>IF(Inputs!$E$25=0,0,(G57-Capacity!G16)/Inputs!$E$25)</f>
        <v>43.65512412</v>
      </c>
      <c r="H58" s="86">
        <f>IF(Inputs!$E$25=0,0,(H57-Capacity!H16)/Inputs!$E$25)</f>
        <v>48.96243743</v>
      </c>
      <c r="I58" s="86">
        <f>IF(Inputs!$E$25=0,0,(I57-Capacity!I16)/Inputs!$E$25)</f>
        <v>47.52854648</v>
      </c>
      <c r="J58" s="86">
        <f>IF(Inputs!$E$25=0,0,(J57-Capacity!J16)/Inputs!$E$25)</f>
        <v>46.13664779</v>
      </c>
      <c r="K58" s="86">
        <f>IF(Inputs!$E$25=0,0,(K57-Capacity!K16)/Inputs!$E$25)</f>
        <v>44.78551159</v>
      </c>
      <c r="L58" s="86">
        <f>IF(Inputs!$E$25=0,0,(L57-Capacity!L16)/Inputs!$E$25)</f>
        <v>43.47394413</v>
      </c>
      <c r="M58" s="86">
        <f>IF(Inputs!$E$25=0,0,(M57-Capacity!M16)/Inputs!$E$25)</f>
        <v>42.20078662</v>
      </c>
      <c r="N58" s="86">
        <f>IF(Inputs!$E$25=0,0,(N57-Capacity!N16)/Inputs!$E$25)</f>
        <v>40.9649142</v>
      </c>
      <c r="O58" s="86">
        <f>IF(Inputs!$E$25=0,0,(O57-Capacity!O16)/Inputs!$E$25)</f>
        <v>39.76523496</v>
      </c>
      <c r="P58" s="86">
        <f>IF(Inputs!$E$25=0,0,(P57-Capacity!P16)/Inputs!$E$25)</f>
        <v>45.38515235</v>
      </c>
      <c r="Q58" s="86">
        <f>IF(Inputs!$E$25=0,0,(Q57-Capacity!Q16)/Inputs!$E$25)</f>
        <v>50.64180087</v>
      </c>
      <c r="R58" s="86">
        <f>IF(Inputs!$E$25=0,0,(R57-Capacity!R16)/Inputs!$E$25)</f>
        <v>49.15872888</v>
      </c>
      <c r="S58" s="86">
        <f>IF(Inputs!$E$25=0,0,(S57-Capacity!S16)/Inputs!$E$25)</f>
        <v>47.71908943</v>
      </c>
      <c r="T58" s="86">
        <f>IF(Inputs!$E$25=0,0,(T57-Capacity!T16)/Inputs!$E$25)</f>
        <v>46.32161059</v>
      </c>
      <c r="U58" s="86">
        <f>IF(Inputs!$E$25=0,0,(U57-Capacity!U16)/Inputs!$E$25)</f>
        <v>44.96505765</v>
      </c>
      <c r="V58" s="86">
        <f>IF(Inputs!$E$25=0,0,(V57-Capacity!V16)/Inputs!$E$25)</f>
        <v>43.64823209</v>
      </c>
      <c r="W58" s="86">
        <f>IF(Inputs!$E$25=0,0,(W57-Capacity!W16)/Inputs!$E$25)</f>
        <v>42.36997046</v>
      </c>
      <c r="X58" s="86">
        <f>IF(Inputs!$E$25=0,0,(X57-Capacity!X16)/Inputs!$E$25)</f>
        <v>41.12914341</v>
      </c>
      <c r="Y58" s="86">
        <f>IF(Inputs!$E$25=0,0,(Y57-Capacity!Y16)/Inputs!$E$25)</f>
        <v>39.92465463</v>
      </c>
      <c r="Z58" s="87">
        <f t="shared" si="39"/>
        <v>448.1426318</v>
      </c>
      <c r="AA58" s="87">
        <f t="shared" si="40"/>
        <v>531.9935895</v>
      </c>
    </row>
    <row r="59" outlineLevel="1">
      <c r="A59" s="6" t="s">
        <v>413</v>
      </c>
      <c r="B59" s="86">
        <f>IF(Inputs!$E$24=0,0,B58/Inputs!$E$24)</f>
        <v>46.59429454</v>
      </c>
      <c r="C59" s="86">
        <f>IF(Inputs!$E$24=0,0,C58/Inputs!$E$24)</f>
        <v>45.22975591</v>
      </c>
      <c r="D59" s="86">
        <f>IF(Inputs!$E$24=0,0,D58/Inputs!$E$24)</f>
        <v>89.13493444</v>
      </c>
      <c r="E59" s="86">
        <f>IF(Inputs!$E$24=0,0,E58/Inputs!$E$24)</f>
        <v>130.4297491</v>
      </c>
      <c r="F59" s="86">
        <f>IF(Inputs!$E$24=0,0,F58/Inputs!$E$24)</f>
        <v>126.6100447</v>
      </c>
      <c r="G59" s="86">
        <f>IF(Inputs!$E$24=0,0,G58/Inputs!$E$24)</f>
        <v>145.5170804</v>
      </c>
      <c r="H59" s="86">
        <f>IF(Inputs!$E$24=0,0,H58/Inputs!$E$24)</f>
        <v>163.2081248</v>
      </c>
      <c r="I59" s="86">
        <f>IF(Inputs!$E$24=0,0,I58/Inputs!$E$24)</f>
        <v>158.4284883</v>
      </c>
      <c r="J59" s="86">
        <f>IF(Inputs!$E$24=0,0,J58/Inputs!$E$24)</f>
        <v>153.788826</v>
      </c>
      <c r="K59" s="86">
        <f>IF(Inputs!$E$24=0,0,K58/Inputs!$E$24)</f>
        <v>149.2850386</v>
      </c>
      <c r="L59" s="86">
        <f>IF(Inputs!$E$24=0,0,L58/Inputs!$E$24)</f>
        <v>144.9131471</v>
      </c>
      <c r="M59" s="86">
        <f>IF(Inputs!$E$24=0,0,M58/Inputs!$E$24)</f>
        <v>140.6692887</v>
      </c>
      <c r="N59" s="86">
        <f>IF(Inputs!$E$24=0,0,N58/Inputs!$E$24)</f>
        <v>136.549714</v>
      </c>
      <c r="O59" s="86">
        <f>IF(Inputs!$E$24=0,0,O58/Inputs!$E$24)</f>
        <v>132.5507832</v>
      </c>
      <c r="P59" s="86">
        <f>IF(Inputs!$E$24=0,0,P58/Inputs!$E$24)</f>
        <v>151.2838412</v>
      </c>
      <c r="Q59" s="86">
        <f>IF(Inputs!$E$24=0,0,Q58/Inputs!$E$24)</f>
        <v>168.8060029</v>
      </c>
      <c r="R59" s="86">
        <f>IF(Inputs!$E$24=0,0,R58/Inputs!$E$24)</f>
        <v>163.8624296</v>
      </c>
      <c r="S59" s="86">
        <f>IF(Inputs!$E$24=0,0,S58/Inputs!$E$24)</f>
        <v>159.0636314</v>
      </c>
      <c r="T59" s="86">
        <f>IF(Inputs!$E$24=0,0,T58/Inputs!$E$24)</f>
        <v>154.4053686</v>
      </c>
      <c r="U59" s="86">
        <f>IF(Inputs!$E$24=0,0,U58/Inputs!$E$24)</f>
        <v>149.8835255</v>
      </c>
      <c r="V59" s="86">
        <f>IF(Inputs!$E$24=0,0,V58/Inputs!$E$24)</f>
        <v>145.494107</v>
      </c>
      <c r="W59" s="86">
        <f>IF(Inputs!$E$24=0,0,W58/Inputs!$E$24)</f>
        <v>141.2332349</v>
      </c>
      <c r="X59" s="86">
        <f>IF(Inputs!$E$24=0,0,X58/Inputs!$E$24)</f>
        <v>137.0971447</v>
      </c>
      <c r="Y59" s="86">
        <f>IF(Inputs!$E$24=0,0,Y58/Inputs!$E$24)</f>
        <v>133.0821821</v>
      </c>
      <c r="Z59" s="87">
        <f t="shared" si="39"/>
        <v>1493.808773</v>
      </c>
      <c r="AA59" s="87">
        <f t="shared" si="40"/>
        <v>1773.311965</v>
      </c>
    </row>
    <row r="60" outlineLevel="1">
      <c r="A60" s="12" t="s">
        <v>414</v>
      </c>
      <c r="B60" s="87">
        <f t="array" ref="B60">IF(B$2+Inputs!$E$30&gt;24,"",INDEX($B59:$Y59,1,B$2+Inputs!$E$30))</f>
        <v>45.22975591</v>
      </c>
      <c r="C60" s="87">
        <f t="array" ref="C60">IF(C$2+Inputs!$E$30&gt;24,"",INDEX($B59:$Y59,1,C$2+Inputs!$E$30))</f>
        <v>89.13493444</v>
      </c>
      <c r="D60" s="87">
        <f t="array" ref="D60">IF(D$2+Inputs!$E$30&gt;24,"",INDEX($B59:$Y59,1,D$2+Inputs!$E$30))</f>
        <v>130.4297491</v>
      </c>
      <c r="E60" s="87">
        <f t="array" ref="E60">IF(E$2+Inputs!$E$30&gt;24,"",INDEX($B59:$Y59,1,E$2+Inputs!$E$30))</f>
        <v>126.6100447</v>
      </c>
      <c r="F60" s="87">
        <f t="array" ref="F60">IF(F$2+Inputs!$E$30&gt;24,"",INDEX($B59:$Y59,1,F$2+Inputs!$E$30))</f>
        <v>145.5170804</v>
      </c>
      <c r="G60" s="87">
        <f t="array" ref="G60">IF(G$2+Inputs!$E$30&gt;24,"",INDEX($B59:$Y59,1,G$2+Inputs!$E$30))</f>
        <v>163.2081248</v>
      </c>
      <c r="H60" s="87">
        <f t="array" ref="H60">IF(H$2+Inputs!$E$30&gt;24,"",INDEX($B59:$Y59,1,H$2+Inputs!$E$30))</f>
        <v>158.4284883</v>
      </c>
      <c r="I60" s="87">
        <f t="array" ref="I60">IF(I$2+Inputs!$E$30&gt;24,"",INDEX($B59:$Y59,1,I$2+Inputs!$E$30))</f>
        <v>153.788826</v>
      </c>
      <c r="J60" s="87">
        <f t="array" ref="J60">IF(J$2+Inputs!$E$30&gt;24,"",INDEX($B59:$Y59,1,J$2+Inputs!$E$30))</f>
        <v>149.2850386</v>
      </c>
      <c r="K60" s="87">
        <f t="array" ref="K60">IF(K$2+Inputs!$E$30&gt;24,"",INDEX($B59:$Y59,1,K$2+Inputs!$E$30))</f>
        <v>144.9131471</v>
      </c>
      <c r="L60" s="87">
        <f t="array" ref="L60">IF(L$2+Inputs!$E$30&gt;24,"",INDEX($B59:$Y59,1,L$2+Inputs!$E$30))</f>
        <v>140.6692887</v>
      </c>
      <c r="M60" s="87">
        <f t="array" ref="M60">IF(M$2+Inputs!$E$30&gt;24,"",INDEX($B59:$Y59,1,M$2+Inputs!$E$30))</f>
        <v>136.549714</v>
      </c>
      <c r="N60" s="87">
        <f t="array" ref="N60">IF(N$2+Inputs!$E$30&gt;24,"",INDEX($B59:$Y59,1,N$2+Inputs!$E$30))</f>
        <v>132.5507832</v>
      </c>
      <c r="O60" s="87">
        <f t="array" ref="O60">IF(O$2+Inputs!$E$30&gt;24,"",INDEX($B59:$Y59,1,O$2+Inputs!$E$30))</f>
        <v>151.2838412</v>
      </c>
      <c r="P60" s="87">
        <f t="array" ref="P60">IF(P$2+Inputs!$E$30&gt;24,"",INDEX($B59:$Y59,1,P$2+Inputs!$E$30))</f>
        <v>168.8060029</v>
      </c>
      <c r="Q60" s="87">
        <f t="array" ref="Q60">IF(Q$2+Inputs!$E$30&gt;24,"",INDEX($B59:$Y59,1,Q$2+Inputs!$E$30))</f>
        <v>163.8624296</v>
      </c>
      <c r="R60" s="87">
        <f t="array" ref="R60">IF(R$2+Inputs!$E$30&gt;24,"",INDEX($B59:$Y59,1,R$2+Inputs!$E$30))</f>
        <v>159.0636314</v>
      </c>
      <c r="S60" s="87">
        <f t="array" ref="S60">IF(S$2+Inputs!$E$30&gt;24,"",INDEX($B59:$Y59,1,S$2+Inputs!$E$30))</f>
        <v>154.4053686</v>
      </c>
      <c r="T60" s="87">
        <f t="array" ref="T60">IF(T$2+Inputs!$E$30&gt;24,"",INDEX($B59:$Y59,1,T$2+Inputs!$E$30))</f>
        <v>149.8835255</v>
      </c>
      <c r="U60" s="87">
        <f t="array" ref="U60">IF(U$2+Inputs!$E$30&gt;24,"",INDEX($B59:$Y59,1,U$2+Inputs!$E$30))</f>
        <v>145.494107</v>
      </c>
      <c r="V60" s="87">
        <f t="array" ref="V60">IF(V$2+Inputs!$E$30&gt;24,"",INDEX($B59:$Y59,1,V$2+Inputs!$E$30))</f>
        <v>141.2332349</v>
      </c>
      <c r="W60" s="87">
        <f t="array" ref="W60">IF(W$2+Inputs!$E$30&gt;24,"",INDEX($B59:$Y59,1,W$2+Inputs!$E$30))</f>
        <v>137.0971447</v>
      </c>
      <c r="X60" s="87">
        <f t="array" ref="X60">IF(X$2+Inputs!$E$30&gt;24,"",INDEX($B59:$Y59,1,X$2+Inputs!$E$30))</f>
        <v>133.0821821</v>
      </c>
      <c r="Y60" s="87" t="str">
        <f t="array" ref="Y60">IF(Y$2+Inputs!$E$30&gt;24,"",INDEX($B59:$Y59,1,Y$2+Inputs!$E$30))</f>
        <v/>
      </c>
      <c r="Z60" s="87">
        <f t="shared" si="39"/>
        <v>1583.764192</v>
      </c>
      <c r="AA60" s="87">
        <f t="shared" si="40"/>
        <v>1636.762251</v>
      </c>
    </row>
    <row r="61" outlineLevel="1">
      <c r="A61" s="6" t="s">
        <v>415</v>
      </c>
      <c r="B61" s="70">
        <f>IF(B60="","",B60*Inputs!$E$25)</f>
        <v>217102.8284</v>
      </c>
      <c r="C61" s="70">
        <f>IF(C60="","",C60*Inputs!$E$25)</f>
        <v>427847.6853</v>
      </c>
      <c r="D61" s="70">
        <f>IF(D60="","",D60*Inputs!$E$25)</f>
        <v>626062.7958</v>
      </c>
      <c r="E61" s="70">
        <f>IF(E60="","",E60*Inputs!$E$25)</f>
        <v>607728.2148</v>
      </c>
      <c r="F61" s="70">
        <f>IF(F60="","",F60*Inputs!$E$25)</f>
        <v>698481.9859</v>
      </c>
      <c r="G61" s="70">
        <f>IF(G60="","",G60*Inputs!$E$25)</f>
        <v>783398.9989</v>
      </c>
      <c r="H61" s="70">
        <f>IF(H60="","",H60*Inputs!$E$25)</f>
        <v>760456.7438</v>
      </c>
      <c r="I61" s="70">
        <f>IF(I60="","",I60*Inputs!$E$25)</f>
        <v>738186.3647</v>
      </c>
      <c r="J61" s="70">
        <f>IF(J60="","",J60*Inputs!$E$25)</f>
        <v>716568.1855</v>
      </c>
      <c r="K61" s="70">
        <f>IF(K60="","",K60*Inputs!$E$25)</f>
        <v>695583.1061</v>
      </c>
      <c r="L61" s="70">
        <f>IF(L60="","",L60*Inputs!$E$25)</f>
        <v>675212.5859</v>
      </c>
      <c r="M61" s="70">
        <f>IF(M60="","",M60*Inputs!$E$25)</f>
        <v>655438.6272</v>
      </c>
      <c r="N61" s="70">
        <f>IF(N60="","",N60*Inputs!$E$25)</f>
        <v>636243.7594</v>
      </c>
      <c r="O61" s="70">
        <f>IF(O60="","",O60*Inputs!$E$25)</f>
        <v>726162.4377</v>
      </c>
      <c r="P61" s="70">
        <f>IF(P60="","",P60*Inputs!$E$25)</f>
        <v>810268.814</v>
      </c>
      <c r="Q61" s="70">
        <f>IF(Q60="","",Q60*Inputs!$E$25)</f>
        <v>786539.662</v>
      </c>
      <c r="R61" s="70">
        <f>IF(R60="","",R60*Inputs!$E$25)</f>
        <v>763505.4309</v>
      </c>
      <c r="S61" s="70">
        <f>IF(S60="","",S60*Inputs!$E$25)</f>
        <v>741145.7694</v>
      </c>
      <c r="T61" s="70">
        <f>IF(T60="","",T60*Inputs!$E$25)</f>
        <v>719440.9224</v>
      </c>
      <c r="U61" s="70">
        <f>IF(U60="","",U60*Inputs!$E$25)</f>
        <v>698371.7134</v>
      </c>
      <c r="V61" s="70">
        <f>IF(V60="","",V60*Inputs!$E$25)</f>
        <v>677919.5274</v>
      </c>
      <c r="W61" s="70">
        <f>IF(W60="","",W60*Inputs!$E$25)</f>
        <v>658066.2945</v>
      </c>
      <c r="X61" s="70">
        <f>IF(X60="","",X60*Inputs!$E$25)</f>
        <v>638794.474</v>
      </c>
      <c r="Y61" s="70" t="str">
        <f>IF(Y60="","",Y60*Inputs!$E$25)</f>
        <v/>
      </c>
      <c r="Z61" s="71">
        <f t="shared" si="39"/>
        <v>7602068.122</v>
      </c>
      <c r="AA61" s="71">
        <f t="shared" si="40"/>
        <v>7856458.805</v>
      </c>
    </row>
    <row r="62" outlineLevel="1">
      <c r="A62" s="6" t="s">
        <v>416</v>
      </c>
      <c r="B62" s="86">
        <f>IF(OR(B60="",Inputs!$E$38*Inputs!$E$39=0),"",B60/(Inputs!$E$38*Inputs!$E$39))</f>
        <v>646.1393702</v>
      </c>
      <c r="C62" s="86">
        <f>IF(OR(C60="",Inputs!$E$38*Inputs!$E$39=0),"",C60/(Inputs!$E$38*Inputs!$E$39))</f>
        <v>1273.356206</v>
      </c>
      <c r="D62" s="86">
        <f>IF(OR(D60="",Inputs!$E$38*Inputs!$E$39=0),"",D60/(Inputs!$E$38*Inputs!$E$39))</f>
        <v>1863.28213</v>
      </c>
      <c r="E62" s="86">
        <f>IF(OR(E60="",Inputs!$E$38*Inputs!$E$39=0),"",E60/(Inputs!$E$38*Inputs!$E$39))</f>
        <v>1808.714925</v>
      </c>
      <c r="F62" s="86">
        <f>IF(OR(F60="",Inputs!$E$38*Inputs!$E$39=0),"",F60/(Inputs!$E$38*Inputs!$E$39))</f>
        <v>2078.815434</v>
      </c>
      <c r="G62" s="86">
        <f>IF(OR(G60="",Inputs!$E$38*Inputs!$E$39=0),"",G60/(Inputs!$E$38*Inputs!$E$39))</f>
        <v>2331.54464</v>
      </c>
      <c r="H62" s="86">
        <f>IF(OR(H60="",Inputs!$E$38*Inputs!$E$39=0),"",H60/(Inputs!$E$38*Inputs!$E$39))</f>
        <v>2263.264118</v>
      </c>
      <c r="I62" s="86">
        <f>IF(OR(I60="",Inputs!$E$38*Inputs!$E$39=0),"",I60/(Inputs!$E$38*Inputs!$E$39))</f>
        <v>2196.983228</v>
      </c>
      <c r="J62" s="86">
        <f>IF(OR(J60="",Inputs!$E$38*Inputs!$E$39=0),"",J60/(Inputs!$E$38*Inputs!$E$39))</f>
        <v>2132.643409</v>
      </c>
      <c r="K62" s="86">
        <f>IF(OR(K60="",Inputs!$E$38*Inputs!$E$39=0),"",K60/(Inputs!$E$38*Inputs!$E$39))</f>
        <v>2070.187816</v>
      </c>
      <c r="L62" s="86">
        <f>IF(OR(L60="",Inputs!$E$38*Inputs!$E$39=0),"",L60/(Inputs!$E$38*Inputs!$E$39))</f>
        <v>2009.561268</v>
      </c>
      <c r="M62" s="86">
        <f>IF(OR(M60="",Inputs!$E$38*Inputs!$E$39=0),"",M60/(Inputs!$E$38*Inputs!$E$39))</f>
        <v>1950.7102</v>
      </c>
      <c r="N62" s="86">
        <f>IF(OR(N60="",Inputs!$E$38*Inputs!$E$39=0),"",N60/(Inputs!$E$38*Inputs!$E$39))</f>
        <v>1893.582617</v>
      </c>
      <c r="O62" s="86">
        <f>IF(OR(O60="",Inputs!$E$38*Inputs!$E$39=0),"",O60/(Inputs!$E$38*Inputs!$E$39))</f>
        <v>2161.197731</v>
      </c>
      <c r="P62" s="86">
        <f>IF(OR(P60="",Inputs!$E$38*Inputs!$E$39=0),"",P60/(Inputs!$E$38*Inputs!$E$39))</f>
        <v>2411.514327</v>
      </c>
      <c r="Q62" s="86">
        <f>IF(OR(Q60="",Inputs!$E$38*Inputs!$E$39=0),"",Q60/(Inputs!$E$38*Inputs!$E$39))</f>
        <v>2340.891851</v>
      </c>
      <c r="R62" s="86">
        <f>IF(OR(R60="",Inputs!$E$38*Inputs!$E$39=0),"",R60/(Inputs!$E$38*Inputs!$E$39))</f>
        <v>2272.337592</v>
      </c>
      <c r="S62" s="86">
        <f>IF(OR(S60="",Inputs!$E$38*Inputs!$E$39=0),"",S60/(Inputs!$E$38*Inputs!$E$39))</f>
        <v>2205.79098</v>
      </c>
      <c r="T62" s="86">
        <f>IF(OR(T60="",Inputs!$E$38*Inputs!$E$39=0),"",T60/(Inputs!$E$38*Inputs!$E$39))</f>
        <v>2141.193222</v>
      </c>
      <c r="U62" s="86">
        <f>IF(OR(U60="",Inputs!$E$38*Inputs!$E$39=0),"",U60/(Inputs!$E$38*Inputs!$E$39))</f>
        <v>2078.487242</v>
      </c>
      <c r="V62" s="86">
        <f>IF(OR(V60="",Inputs!$E$38*Inputs!$E$39=0),"",V60/(Inputs!$E$38*Inputs!$E$39))</f>
        <v>2017.617641</v>
      </c>
      <c r="W62" s="86">
        <f>IF(OR(W60="",Inputs!$E$38*Inputs!$E$39=0),"",W60/(Inputs!$E$38*Inputs!$E$39))</f>
        <v>1958.530638</v>
      </c>
      <c r="X62" s="86">
        <f>IF(OR(X60="",Inputs!$E$38*Inputs!$E$39=0),"",X60/(Inputs!$E$38*Inputs!$E$39))</f>
        <v>1901.17403</v>
      </c>
      <c r="Y62" s="86" t="str">
        <f>IF(OR(Y60="",Inputs!$E$38*Inputs!$E$39=0),"",Y60/(Inputs!$E$38*Inputs!$E$39))</f>
        <v/>
      </c>
      <c r="Z62" s="87">
        <f t="shared" si="39"/>
        <v>22625.20275</v>
      </c>
      <c r="AA62" s="87">
        <f t="shared" si="40"/>
        <v>23382.31787</v>
      </c>
    </row>
    <row r="63" outlineLevel="1">
      <c r="A63" s="38" t="s">
        <v>417</v>
      </c>
      <c r="B63" s="89">
        <f t="shared" ref="B63:Y63" si="41">IF(B57=0,"",B54/B57)</f>
        <v>3.433896823</v>
      </c>
      <c r="C63" s="89">
        <f t="shared" si="41"/>
        <v>3.333333333</v>
      </c>
      <c r="D63" s="89">
        <f t="shared" si="41"/>
        <v>3.333333333</v>
      </c>
      <c r="E63" s="89">
        <f t="shared" si="41"/>
        <v>3.333333333</v>
      </c>
      <c r="F63" s="89">
        <f t="shared" si="41"/>
        <v>3.333333333</v>
      </c>
      <c r="G63" s="89">
        <f t="shared" si="41"/>
        <v>3.333333333</v>
      </c>
      <c r="H63" s="89">
        <f t="shared" si="41"/>
        <v>3.333333333</v>
      </c>
      <c r="I63" s="89">
        <f t="shared" si="41"/>
        <v>3.333333333</v>
      </c>
      <c r="J63" s="89">
        <f t="shared" si="41"/>
        <v>3.333333333</v>
      </c>
      <c r="K63" s="89">
        <f t="shared" si="41"/>
        <v>3.333333333</v>
      </c>
      <c r="L63" s="89">
        <f t="shared" si="41"/>
        <v>3.333333333</v>
      </c>
      <c r="M63" s="89">
        <f t="shared" si="41"/>
        <v>3.333333333</v>
      </c>
      <c r="N63" s="89">
        <f t="shared" si="41"/>
        <v>3.333333333</v>
      </c>
      <c r="O63" s="89">
        <f t="shared" si="41"/>
        <v>3.333333333</v>
      </c>
      <c r="P63" s="89">
        <f t="shared" si="41"/>
        <v>3.333333333</v>
      </c>
      <c r="Q63" s="89">
        <f t="shared" si="41"/>
        <v>3.333333333</v>
      </c>
      <c r="R63" s="89">
        <f t="shared" si="41"/>
        <v>3.333333333</v>
      </c>
      <c r="S63" s="89">
        <f t="shared" si="41"/>
        <v>3.333333333</v>
      </c>
      <c r="T63" s="89">
        <f t="shared" si="41"/>
        <v>3.333333333</v>
      </c>
      <c r="U63" s="89">
        <f t="shared" si="41"/>
        <v>3.333333333</v>
      </c>
      <c r="V63" s="89">
        <f t="shared" si="41"/>
        <v>3.333333333</v>
      </c>
      <c r="W63" s="89">
        <f t="shared" si="41"/>
        <v>3.333333333</v>
      </c>
      <c r="X63" s="89">
        <f t="shared" si="41"/>
        <v>3.333333333</v>
      </c>
      <c r="Y63" s="89">
        <f t="shared" si="41"/>
        <v>3.333333333</v>
      </c>
      <c r="Z63" s="90">
        <f>IF(SUM(B57:M57)=0,"",SUM(B54:M54)/SUM(B57:M57))</f>
        <v>3.33647007</v>
      </c>
      <c r="AA63" s="90">
        <f>IF(SUM(N57:Y57)=0,"",SUM(N54:Y54)/SUM(N57:Y57))</f>
        <v>3.333333333</v>
      </c>
    </row>
    <row r="64" outlineLevel="1">
      <c r="A64" s="6" t="s">
        <v>392</v>
      </c>
      <c r="B64" s="85">
        <f t="shared" ref="B64:Y64" si="42">IF(B57=0,"",B56/B57)</f>
        <v>1.030169047</v>
      </c>
      <c r="C64" s="85">
        <f t="shared" si="42"/>
        <v>1</v>
      </c>
      <c r="D64" s="85">
        <f t="shared" si="42"/>
        <v>1</v>
      </c>
      <c r="E64" s="85">
        <f t="shared" si="42"/>
        <v>1</v>
      </c>
      <c r="F64" s="85">
        <f t="shared" si="42"/>
        <v>1</v>
      </c>
      <c r="G64" s="85">
        <f t="shared" si="42"/>
        <v>1</v>
      </c>
      <c r="H64" s="85">
        <f t="shared" si="42"/>
        <v>1</v>
      </c>
      <c r="I64" s="85">
        <f t="shared" si="42"/>
        <v>1</v>
      </c>
      <c r="J64" s="85">
        <f t="shared" si="42"/>
        <v>1</v>
      </c>
      <c r="K64" s="85">
        <f t="shared" si="42"/>
        <v>1</v>
      </c>
      <c r="L64" s="85">
        <f t="shared" si="42"/>
        <v>1</v>
      </c>
      <c r="M64" s="85">
        <f t="shared" si="42"/>
        <v>1</v>
      </c>
      <c r="N64" s="85">
        <f t="shared" si="42"/>
        <v>1</v>
      </c>
      <c r="O64" s="85">
        <f t="shared" si="42"/>
        <v>1</v>
      </c>
      <c r="P64" s="85">
        <f t="shared" si="42"/>
        <v>1</v>
      </c>
      <c r="Q64" s="85">
        <f t="shared" si="42"/>
        <v>1</v>
      </c>
      <c r="R64" s="85">
        <f t="shared" si="42"/>
        <v>1</v>
      </c>
      <c r="S64" s="85">
        <f t="shared" si="42"/>
        <v>1</v>
      </c>
      <c r="T64" s="85">
        <f t="shared" si="42"/>
        <v>1</v>
      </c>
      <c r="U64" s="85">
        <f t="shared" si="42"/>
        <v>1</v>
      </c>
      <c r="V64" s="85">
        <f t="shared" si="42"/>
        <v>1</v>
      </c>
      <c r="W64" s="85">
        <f t="shared" si="42"/>
        <v>1</v>
      </c>
      <c r="X64" s="85">
        <f t="shared" si="42"/>
        <v>1</v>
      </c>
      <c r="Y64" s="85">
        <f t="shared" si="42"/>
        <v>1</v>
      </c>
      <c r="Z64" s="84">
        <f>IF(SUM(B57:M57)=0,"",SUM(B56:M56)/SUM(B57:M57))</f>
        <v>1.000941021</v>
      </c>
      <c r="AA64" s="84">
        <f>IF(SUM(N57:Y57)=0,"",SUM(N56:Y56)/SUM(N57:Y57))</f>
        <v>1</v>
      </c>
    </row>
    <row r="65" outlineLevel="1">
      <c r="A65" s="6" t="s">
        <v>418</v>
      </c>
      <c r="B65" s="86">
        <f>IF(Capacity!B23=0,"",B46/Capacity!B23)</f>
        <v>23.29714727</v>
      </c>
      <c r="C65" s="86">
        <f>IF(Capacity!C23=0,"",C46/Capacity!C23)</f>
        <v>23.29714727</v>
      </c>
      <c r="D65" s="86">
        <f>IF(Capacity!D23=0,"",D46/Capacity!D23)</f>
        <v>23.29714727</v>
      </c>
      <c r="E65" s="86">
        <f>IF(Capacity!E23=0,"",E46/Capacity!E23)</f>
        <v>23.29714727</v>
      </c>
      <c r="F65" s="86">
        <f>IF(Capacity!F23=0,"",F46/Capacity!F23)</f>
        <v>23.29714727</v>
      </c>
      <c r="G65" s="86">
        <f>IF(Capacity!G23=0,"",G46/Capacity!G23)</f>
        <v>23.29714727</v>
      </c>
      <c r="H65" s="86">
        <f>IF(Capacity!H23=0,"",H46/Capacity!H23)</f>
        <v>23.29714727</v>
      </c>
      <c r="I65" s="86">
        <f>IF(Capacity!I23=0,"",I46/Capacity!I23)</f>
        <v>23.29714727</v>
      </c>
      <c r="J65" s="86">
        <f>IF(Capacity!J23=0,"",J46/Capacity!J23)</f>
        <v>23.29714727</v>
      </c>
      <c r="K65" s="86">
        <f>IF(Capacity!K23=0,"",K46/Capacity!K23)</f>
        <v>23.29714727</v>
      </c>
      <c r="L65" s="86">
        <f>IF(Capacity!L23=0,"",L46/Capacity!L23)</f>
        <v>23.29714727</v>
      </c>
      <c r="M65" s="86">
        <f>IF(Capacity!M23=0,"",M46/Capacity!M23)</f>
        <v>23.29714727</v>
      </c>
      <c r="N65" s="86">
        <f>IF(Capacity!N23=0,"",N46/Capacity!N23)</f>
        <v>23.29714727</v>
      </c>
      <c r="O65" s="86">
        <f>IF(Capacity!O23=0,"",O46/Capacity!O23)</f>
        <v>23.29714727</v>
      </c>
      <c r="P65" s="86">
        <f>IF(Capacity!P23=0,"",P46/Capacity!P23)</f>
        <v>23.29714727</v>
      </c>
      <c r="Q65" s="86">
        <f>IF(Capacity!Q23=0,"",Q46/Capacity!Q23)</f>
        <v>23.29714727</v>
      </c>
      <c r="R65" s="86">
        <f>IF(Capacity!R23=0,"",R46/Capacity!R23)</f>
        <v>23.29714727</v>
      </c>
      <c r="S65" s="86">
        <f>IF(Capacity!S23=0,"",S46/Capacity!S23)</f>
        <v>23.29714727</v>
      </c>
      <c r="T65" s="86">
        <f>IF(Capacity!T23=0,"",T46/Capacity!T23)</f>
        <v>23.29714727</v>
      </c>
      <c r="U65" s="86">
        <f>IF(Capacity!U23=0,"",U46/Capacity!U23)</f>
        <v>23.29714727</v>
      </c>
      <c r="V65" s="86">
        <f>IF(Capacity!V23=0,"",V46/Capacity!V23)</f>
        <v>23.29714727</v>
      </c>
      <c r="W65" s="86">
        <f>IF(Capacity!W23=0,"",W46/Capacity!W23)</f>
        <v>23.29714727</v>
      </c>
      <c r="X65" s="86">
        <f>IF(Capacity!X23=0,"",X46/Capacity!X23)</f>
        <v>23.29714727</v>
      </c>
      <c r="Y65" s="86">
        <f>IF(Capacity!Y23=0,"",Y46/Capacity!Y23)</f>
        <v>24</v>
      </c>
      <c r="Z65" s="87">
        <f>IF(SUM(Capacity!B23:M23)=0,"",SUM(B46:M46)/SUM(Capacity!B23:M23))</f>
        <v>23.29714727</v>
      </c>
      <c r="AA65" s="87">
        <f>IF(SUM(Capacity!N23:Y23)=0,"",SUM(N46:Y46)/SUM(Capacity!N23:Y23))</f>
        <v>23.34856325</v>
      </c>
    </row>
    <row r="66" outlineLevel="1">
      <c r="A66" s="6" t="s">
        <v>419</v>
      </c>
      <c r="B66" s="85">
        <f>IF(OR(B65="",'Rep capacity'!$B$28=0),"",B65/'Rep capacity'!$B$28)</f>
        <v>0.9707144696</v>
      </c>
      <c r="C66" s="85">
        <f>IF(OR(C65="",'Rep capacity'!$B$28=0),"",C65/'Rep capacity'!$B$28)</f>
        <v>0.9707144696</v>
      </c>
      <c r="D66" s="85">
        <f>IF(OR(D65="",'Rep capacity'!$B$28=0),"",D65/'Rep capacity'!$B$28)</f>
        <v>0.9707144696</v>
      </c>
      <c r="E66" s="85">
        <f>IF(OR(E65="",'Rep capacity'!$B$28=0),"",E65/'Rep capacity'!$B$28)</f>
        <v>0.9707144696</v>
      </c>
      <c r="F66" s="85">
        <f>IF(OR(F65="",'Rep capacity'!$B$28=0),"",F65/'Rep capacity'!$B$28)</f>
        <v>0.9707144696</v>
      </c>
      <c r="G66" s="85">
        <f>IF(OR(G65="",'Rep capacity'!$B$28=0),"",G65/'Rep capacity'!$B$28)</f>
        <v>0.9707144696</v>
      </c>
      <c r="H66" s="85">
        <f>IF(OR(H65="",'Rep capacity'!$B$28=0),"",H65/'Rep capacity'!$B$28)</f>
        <v>0.9707144696</v>
      </c>
      <c r="I66" s="85">
        <f>IF(OR(I65="",'Rep capacity'!$B$28=0),"",I65/'Rep capacity'!$B$28)</f>
        <v>0.9707144696</v>
      </c>
      <c r="J66" s="85">
        <f>IF(OR(J65="",'Rep capacity'!$B$28=0),"",J65/'Rep capacity'!$B$28)</f>
        <v>0.9707144696</v>
      </c>
      <c r="K66" s="85">
        <f>IF(OR(K65="",'Rep capacity'!$B$28=0),"",K65/'Rep capacity'!$B$28)</f>
        <v>0.9707144696</v>
      </c>
      <c r="L66" s="85">
        <f>IF(OR(L65="",'Rep capacity'!$B$28=0),"",L65/'Rep capacity'!$B$28)</f>
        <v>0.9707144696</v>
      </c>
      <c r="M66" s="85">
        <f>IF(OR(M65="",'Rep capacity'!$B$28=0),"",M65/'Rep capacity'!$B$28)</f>
        <v>0.9707144696</v>
      </c>
      <c r="N66" s="85">
        <f>IF(OR(N65="",'Rep capacity'!$B$28=0),"",N65/'Rep capacity'!$B$28)</f>
        <v>0.9707144696</v>
      </c>
      <c r="O66" s="85">
        <f>IF(OR(O65="",'Rep capacity'!$B$28=0),"",O65/'Rep capacity'!$B$28)</f>
        <v>0.9707144696</v>
      </c>
      <c r="P66" s="85">
        <f>IF(OR(P65="",'Rep capacity'!$B$28=0),"",P65/'Rep capacity'!$B$28)</f>
        <v>0.9707144696</v>
      </c>
      <c r="Q66" s="85">
        <f>IF(OR(Q65="",'Rep capacity'!$B$28=0),"",Q65/'Rep capacity'!$B$28)</f>
        <v>0.9707144696</v>
      </c>
      <c r="R66" s="85">
        <f>IF(OR(R65="",'Rep capacity'!$B$28=0),"",R65/'Rep capacity'!$B$28)</f>
        <v>0.9707144696</v>
      </c>
      <c r="S66" s="85">
        <f>IF(OR(S65="",'Rep capacity'!$B$28=0),"",S65/'Rep capacity'!$B$28)</f>
        <v>0.9707144696</v>
      </c>
      <c r="T66" s="85">
        <f>IF(OR(T65="",'Rep capacity'!$B$28=0),"",T65/'Rep capacity'!$B$28)</f>
        <v>0.9707144696</v>
      </c>
      <c r="U66" s="85">
        <f>IF(OR(U65="",'Rep capacity'!$B$28=0),"",U65/'Rep capacity'!$B$28)</f>
        <v>0.9707144696</v>
      </c>
      <c r="V66" s="85">
        <f>IF(OR(V65="",'Rep capacity'!$B$28=0),"",V65/'Rep capacity'!$B$28)</f>
        <v>0.9707144696</v>
      </c>
      <c r="W66" s="85">
        <f>IF(OR(W65="",'Rep capacity'!$B$28=0),"",W65/'Rep capacity'!$B$28)</f>
        <v>0.9707144696</v>
      </c>
      <c r="X66" s="85">
        <f>IF(OR(X65="",'Rep capacity'!$B$28=0),"",X65/'Rep capacity'!$B$28)</f>
        <v>0.9707144696</v>
      </c>
      <c r="Y66" s="85">
        <f>IF(OR(Y65="",'Rep capacity'!$B$28=0),"",Y65/'Rep capacity'!$B$28)</f>
        <v>1</v>
      </c>
      <c r="Z66" s="84">
        <f>IF(Z65="","",Z65/'Rep capacity'!$B$28)</f>
        <v>0.9707144696</v>
      </c>
      <c r="AA66" s="84">
        <f>IF(AA65="","",AA65/'Rep capacity'!$B$28)</f>
        <v>0.9728568019</v>
      </c>
    </row>
    <row r="67" outlineLevel="1">
      <c r="A67" s="12" t="s">
        <v>420</v>
      </c>
      <c r="B67" s="91" t="str">
        <f t="array" ref="B67">IF(IF(ISNUMBER(INDEX($B$10:$I$10,1,B$3)),ROUND(N(INDEX($B$10:$I$10,1,B$3)),4)&lt;ROUND('Rep capacity'!$B$37,4),FALSE),IF(IF(ISNUMBER(B66),N(B66)&gt;Inputs!$B$13,FALSE),"Pipeline + Rep load","Pipeline"),IF(IF(ISNUMBER(B66),N(B66)&gt;Inputs!$B$13,FALSE),"Rep load","OK"))</f>
        <v>OK</v>
      </c>
      <c r="C67" s="91" t="str">
        <f t="array" ref="C67">IF(IF(ISNUMBER(INDEX($B$10:$I$10,1,C$3)),ROUND(N(INDEX($B$10:$I$10,1,C$3)),4)&lt;ROUND('Rep capacity'!$B$37,4),FALSE),IF(IF(ISNUMBER(C66),N(C66)&gt;Inputs!$B$13,FALSE),"Pipeline + Rep load","Pipeline"),IF(IF(ISNUMBER(C66),N(C66)&gt;Inputs!$B$13,FALSE),"Rep load","OK"))</f>
        <v>OK</v>
      </c>
      <c r="D67" s="91" t="str">
        <f t="array" ref="D67">IF(IF(ISNUMBER(INDEX($B$10:$I$10,1,D$3)),ROUND(N(INDEX($B$10:$I$10,1,D$3)),4)&lt;ROUND('Rep capacity'!$B$37,4),FALSE),IF(IF(ISNUMBER(D66),N(D66)&gt;Inputs!$B$13,FALSE),"Pipeline + Rep load","Pipeline"),IF(IF(ISNUMBER(D66),N(D66)&gt;Inputs!$B$13,FALSE),"Rep load","OK"))</f>
        <v>OK</v>
      </c>
      <c r="E67" s="91" t="str">
        <f t="array" ref="E67">IF(IF(ISNUMBER(INDEX($B$10:$I$10,1,E$3)),ROUND(N(INDEX($B$10:$I$10,1,E$3)),4)&lt;ROUND('Rep capacity'!$B$37,4),FALSE),IF(IF(ISNUMBER(E66),N(E66)&gt;Inputs!$B$13,FALSE),"Pipeline + Rep load","Pipeline"),IF(IF(ISNUMBER(E66),N(E66)&gt;Inputs!$B$13,FALSE),"Rep load","OK"))</f>
        <v>OK</v>
      </c>
      <c r="F67" s="91" t="str">
        <f t="array" ref="F67">IF(IF(ISNUMBER(INDEX($B$10:$I$10,1,F$3)),ROUND(N(INDEX($B$10:$I$10,1,F$3)),4)&lt;ROUND('Rep capacity'!$B$37,4),FALSE),IF(IF(ISNUMBER(F66),N(F66)&gt;Inputs!$B$13,FALSE),"Pipeline + Rep load","Pipeline"),IF(IF(ISNUMBER(F66),N(F66)&gt;Inputs!$B$13,FALSE),"Rep load","OK"))</f>
        <v>OK</v>
      </c>
      <c r="G67" s="91" t="str">
        <f t="array" ref="G67">IF(IF(ISNUMBER(INDEX($B$10:$I$10,1,G$3)),ROUND(N(INDEX($B$10:$I$10,1,G$3)),4)&lt;ROUND('Rep capacity'!$B$37,4),FALSE),IF(IF(ISNUMBER(G66),N(G66)&gt;Inputs!$B$13,FALSE),"Pipeline + Rep load","Pipeline"),IF(IF(ISNUMBER(G66),N(G66)&gt;Inputs!$B$13,FALSE),"Rep load","OK"))</f>
        <v>OK</v>
      </c>
      <c r="H67" s="91" t="str">
        <f t="array" ref="H67">IF(IF(ISNUMBER(INDEX($B$10:$I$10,1,H$3)),ROUND(N(INDEX($B$10:$I$10,1,H$3)),4)&lt;ROUND('Rep capacity'!$B$37,4),FALSE),IF(IF(ISNUMBER(H66),N(H66)&gt;Inputs!$B$13,FALSE),"Pipeline + Rep load","Pipeline"),IF(IF(ISNUMBER(H66),N(H66)&gt;Inputs!$B$13,FALSE),"Rep load","OK"))</f>
        <v>OK</v>
      </c>
      <c r="I67" s="91" t="str">
        <f t="array" ref="I67">IF(IF(ISNUMBER(INDEX($B$10:$I$10,1,I$3)),ROUND(N(INDEX($B$10:$I$10,1,I$3)),4)&lt;ROUND('Rep capacity'!$B$37,4),FALSE),IF(IF(ISNUMBER(I66),N(I66)&gt;Inputs!$B$13,FALSE),"Pipeline + Rep load","Pipeline"),IF(IF(ISNUMBER(I66),N(I66)&gt;Inputs!$B$13,FALSE),"Rep load","OK"))</f>
        <v>OK</v>
      </c>
      <c r="J67" s="91" t="str">
        <f t="array" ref="J67">IF(IF(ISNUMBER(INDEX($B$10:$I$10,1,J$3)),ROUND(N(INDEX($B$10:$I$10,1,J$3)),4)&lt;ROUND('Rep capacity'!$B$37,4),FALSE),IF(IF(ISNUMBER(J66),N(J66)&gt;Inputs!$B$13,FALSE),"Pipeline + Rep load","Pipeline"),IF(IF(ISNUMBER(J66),N(J66)&gt;Inputs!$B$13,FALSE),"Rep load","OK"))</f>
        <v>OK</v>
      </c>
      <c r="K67" s="91" t="str">
        <f t="array" ref="K67">IF(IF(ISNUMBER(INDEX($B$10:$I$10,1,K$3)),ROUND(N(INDEX($B$10:$I$10,1,K$3)),4)&lt;ROUND('Rep capacity'!$B$37,4),FALSE),IF(IF(ISNUMBER(K66),N(K66)&gt;Inputs!$B$13,FALSE),"Pipeline + Rep load","Pipeline"),IF(IF(ISNUMBER(K66),N(K66)&gt;Inputs!$B$13,FALSE),"Rep load","OK"))</f>
        <v>OK</v>
      </c>
      <c r="L67" s="91" t="str">
        <f t="array" ref="L67">IF(IF(ISNUMBER(INDEX($B$10:$I$10,1,L$3)),ROUND(N(INDEX($B$10:$I$10,1,L$3)),4)&lt;ROUND('Rep capacity'!$B$37,4),FALSE),IF(IF(ISNUMBER(L66),N(L66)&gt;Inputs!$B$13,FALSE),"Pipeline + Rep load","Pipeline"),IF(IF(ISNUMBER(L66),N(L66)&gt;Inputs!$B$13,FALSE),"Rep load","OK"))</f>
        <v>OK</v>
      </c>
      <c r="M67" s="91" t="str">
        <f t="array" ref="M67">IF(IF(ISNUMBER(INDEX($B$10:$I$10,1,M$3)),ROUND(N(INDEX($B$10:$I$10,1,M$3)),4)&lt;ROUND('Rep capacity'!$B$37,4),FALSE),IF(IF(ISNUMBER(M66),N(M66)&gt;Inputs!$B$13,FALSE),"Pipeline + Rep load","Pipeline"),IF(IF(ISNUMBER(M66),N(M66)&gt;Inputs!$B$13,FALSE),"Rep load","OK"))</f>
        <v>OK</v>
      </c>
      <c r="N67" s="91" t="str">
        <f t="array" ref="N67">IF(IF(ISNUMBER(INDEX($B$10:$I$10,1,N$3)),ROUND(N(INDEX($B$10:$I$10,1,N$3)),4)&lt;ROUND('Rep capacity'!$B$37,4),FALSE),IF(IF(ISNUMBER(N66),N(N66)&gt;Inputs!$B$13,FALSE),"Pipeline + Rep load","Pipeline"),IF(IF(ISNUMBER(N66),N(N66)&gt;Inputs!$B$13,FALSE),"Rep load","OK"))</f>
        <v>OK</v>
      </c>
      <c r="O67" s="91" t="str">
        <f t="array" ref="O67">IF(IF(ISNUMBER(INDEX($B$10:$I$10,1,O$3)),ROUND(N(INDEX($B$10:$I$10,1,O$3)),4)&lt;ROUND('Rep capacity'!$B$37,4),FALSE),IF(IF(ISNUMBER(O66),N(O66)&gt;Inputs!$B$13,FALSE),"Pipeline + Rep load","Pipeline"),IF(IF(ISNUMBER(O66),N(O66)&gt;Inputs!$B$13,FALSE),"Rep load","OK"))</f>
        <v>OK</v>
      </c>
      <c r="P67" s="91" t="str">
        <f t="array" ref="P67">IF(IF(ISNUMBER(INDEX($B$10:$I$10,1,P$3)),ROUND(N(INDEX($B$10:$I$10,1,P$3)),4)&lt;ROUND('Rep capacity'!$B$37,4),FALSE),IF(IF(ISNUMBER(P66),N(P66)&gt;Inputs!$B$13,FALSE),"Pipeline + Rep load","Pipeline"),IF(IF(ISNUMBER(P66),N(P66)&gt;Inputs!$B$13,FALSE),"Rep load","OK"))</f>
        <v>OK</v>
      </c>
      <c r="Q67" s="91" t="str">
        <f t="array" ref="Q67">IF(IF(ISNUMBER(INDEX($B$10:$I$10,1,Q$3)),ROUND(N(INDEX($B$10:$I$10,1,Q$3)),4)&lt;ROUND('Rep capacity'!$B$37,4),FALSE),IF(IF(ISNUMBER(Q66),N(Q66)&gt;Inputs!$B$13,FALSE),"Pipeline + Rep load","Pipeline"),IF(IF(ISNUMBER(Q66),N(Q66)&gt;Inputs!$B$13,FALSE),"Rep load","OK"))</f>
        <v>OK</v>
      </c>
      <c r="R67" s="91" t="str">
        <f t="array" ref="R67">IF(IF(ISNUMBER(INDEX($B$10:$I$10,1,R$3)),ROUND(N(INDEX($B$10:$I$10,1,R$3)),4)&lt;ROUND('Rep capacity'!$B$37,4),FALSE),IF(IF(ISNUMBER(R66),N(R66)&gt;Inputs!$B$13,FALSE),"Pipeline + Rep load","Pipeline"),IF(IF(ISNUMBER(R66),N(R66)&gt;Inputs!$B$13,FALSE),"Rep load","OK"))</f>
        <v>OK</v>
      </c>
      <c r="S67" s="91" t="str">
        <f t="array" ref="S67">IF(IF(ISNUMBER(INDEX($B$10:$I$10,1,S$3)),ROUND(N(INDEX($B$10:$I$10,1,S$3)),4)&lt;ROUND('Rep capacity'!$B$37,4),FALSE),IF(IF(ISNUMBER(S66),N(S66)&gt;Inputs!$B$13,FALSE),"Pipeline + Rep load","Pipeline"),IF(IF(ISNUMBER(S66),N(S66)&gt;Inputs!$B$13,FALSE),"Rep load","OK"))</f>
        <v>OK</v>
      </c>
      <c r="T67" s="91" t="str">
        <f t="array" ref="T67">IF(IF(ISNUMBER(INDEX($B$10:$I$10,1,T$3)),ROUND(N(INDEX($B$10:$I$10,1,T$3)),4)&lt;ROUND('Rep capacity'!$B$37,4),FALSE),IF(IF(ISNUMBER(T66),N(T66)&gt;Inputs!$B$13,FALSE),"Pipeline + Rep load","Pipeline"),IF(IF(ISNUMBER(T66),N(T66)&gt;Inputs!$B$13,FALSE),"Rep load","OK"))</f>
        <v>OK</v>
      </c>
      <c r="U67" s="91" t="str">
        <f t="array" ref="U67">IF(IF(ISNUMBER(INDEX($B$10:$I$10,1,U$3)),ROUND(N(INDEX($B$10:$I$10,1,U$3)),4)&lt;ROUND('Rep capacity'!$B$37,4),FALSE),IF(IF(ISNUMBER(U66),N(U66)&gt;Inputs!$B$13,FALSE),"Pipeline + Rep load","Pipeline"),IF(IF(ISNUMBER(U66),N(U66)&gt;Inputs!$B$13,FALSE),"Rep load","OK"))</f>
        <v>OK</v>
      </c>
      <c r="V67" s="91" t="str">
        <f t="array" ref="V67">IF(IF(ISNUMBER(INDEX($B$10:$I$10,1,V$3)),ROUND(N(INDEX($B$10:$I$10,1,V$3)),4)&lt;ROUND('Rep capacity'!$B$37,4),FALSE),IF(IF(ISNUMBER(V66),N(V66)&gt;Inputs!$B$13,FALSE),"Pipeline + Rep load","Pipeline"),IF(IF(ISNUMBER(V66),N(V66)&gt;Inputs!$B$13,FALSE),"Rep load","OK"))</f>
        <v>OK</v>
      </c>
      <c r="W67" s="91" t="str">
        <f t="array" ref="W67">IF(IF(ISNUMBER(INDEX($B$10:$I$10,1,W$3)),ROUND(N(INDEX($B$10:$I$10,1,W$3)),4)&lt;ROUND('Rep capacity'!$B$37,4),FALSE),IF(IF(ISNUMBER(W66),N(W66)&gt;Inputs!$B$13,FALSE),"Pipeline + Rep load","Pipeline"),IF(IF(ISNUMBER(W66),N(W66)&gt;Inputs!$B$13,FALSE),"Rep load","OK"))</f>
        <v>OK</v>
      </c>
      <c r="X67" s="91" t="str">
        <f t="array" ref="X67">IF(IF(ISNUMBER(INDEX($B$10:$I$10,1,X$3)),ROUND(N(INDEX($B$10:$I$10,1,X$3)),4)&lt;ROUND('Rep capacity'!$B$37,4),FALSE),IF(IF(ISNUMBER(X66),N(X66)&gt;Inputs!$B$13,FALSE),"Pipeline + Rep load","Pipeline"),IF(IF(ISNUMBER(X66),N(X66)&gt;Inputs!$B$13,FALSE),"Rep load","OK"))</f>
        <v>OK</v>
      </c>
      <c r="Y67" s="91" t="str">
        <f t="array" ref="Y67">IF(IF(ISNUMBER(INDEX($B$10:$I$10,1,Y$3)),ROUND(N(INDEX($B$10:$I$10,1,Y$3)),4)&lt;ROUND('Rep capacity'!$B$37,4),FALSE),IF(IF(ISNUMBER(Y66),N(Y66)&gt;Inputs!$B$13,FALSE),"Pipeline + Rep load","Pipeline"),IF(IF(ISNUMBER(Y66),N(Y66)&gt;Inputs!$B$13,FALSE),"Rep load","OK"))</f>
        <v>OK</v>
      </c>
      <c r="Z67" s="51"/>
      <c r="AA67" s="51"/>
    </row>
    <row r="68" outlineLevel="1">
      <c r="A68" s="3"/>
      <c r="Z68" s="51"/>
      <c r="AA68" s="51"/>
    </row>
    <row r="69">
      <c r="A69" s="4" t="s">
        <v>421</v>
      </c>
      <c r="B69" s="46"/>
      <c r="C69" s="46"/>
      <c r="D69" s="46"/>
      <c r="E69" s="46"/>
      <c r="F69" s="46"/>
      <c r="G69" s="46"/>
      <c r="H69" s="46"/>
      <c r="I69" s="46"/>
      <c r="J69" s="46"/>
      <c r="K69" s="46"/>
      <c r="L69" s="46"/>
      <c r="M69" s="46"/>
      <c r="N69" s="46"/>
      <c r="O69" s="46"/>
      <c r="P69" s="46"/>
      <c r="Q69" s="46"/>
      <c r="R69" s="46"/>
      <c r="S69" s="46"/>
      <c r="T69" s="46"/>
      <c r="U69" s="46"/>
      <c r="V69" s="46"/>
      <c r="W69" s="46"/>
      <c r="X69" s="46"/>
      <c r="Y69" s="46"/>
      <c r="Z69" s="46"/>
      <c r="AA69" s="46"/>
    </row>
    <row r="70" outlineLevel="1">
      <c r="A70" s="3" t="str">
        <f>"Produced: leads ("&amp;Inputs!$B$11&amp;"; monthly overrides on Inputs win)"</f>
        <v>Produced: leads (Paced to plan; monthly overrides on Inputs win)</v>
      </c>
      <c r="B70" s="86">
        <f t="array" ref="B70">IF(ISNUMBER(Inputs!J$72),Inputs!J$72,IF(Inputs!$B$11="Paced to plan",IF(ISNUMBER(B90),B90,IF(ISNUMBER(INDEX($B90:$Y90,1,MAX(1,24-Inputs!$F$30))),INDEX($B90:$Y90,1,MAX(1,24-Inputs!$F$30)),0)),IF(B$4=1,Inputs!$F$43,Inputs!$F$44)))</f>
        <v>475.2986966</v>
      </c>
      <c r="C70" s="86">
        <f t="array" ref="C70">IF(ISNUMBER(Inputs!K$72),Inputs!K$72,IF(Inputs!$B$11="Paced to plan",IF(ISNUMBER(C90),C90,IF(ISNUMBER(INDEX($B90:$Y90,1,MAX(1,24-Inputs!$F$30))),INDEX($B90:$Y90,1,MAX(1,24-Inputs!$F$30)),0)),IF(C$4=1,Inputs!$F$43,Inputs!$F$44)))</f>
        <v>466.5420452</v>
      </c>
      <c r="D70" s="86">
        <f t="array" ref="D70">IF(ISNUMBER(Inputs!L$72),Inputs!L$72,IF(Inputs!$B$11="Paced to plan",IF(ISNUMBER(D90),D90,IF(ISNUMBER(INDEX($B90:$Y90,1,MAX(1,24-Inputs!$F$30))),INDEX($B90:$Y90,1,MAX(1,24-Inputs!$F$30)),0)),IF(D$4=1,Inputs!$F$43,Inputs!$F$44)))</f>
        <v>457.9467218</v>
      </c>
      <c r="E70" s="86">
        <f t="array" ref="E70">IF(ISNUMBER(Inputs!M$72),Inputs!M$72,IF(Inputs!$B$11="Paced to plan",IF(ISNUMBER(E90),E90,IF(ISNUMBER(INDEX($B90:$Y90,1,MAX(1,24-Inputs!$F$30))),INDEX($B90:$Y90,1,MAX(1,24-Inputs!$F$30)),0)),IF(E$4=1,Inputs!$F$43,Inputs!$F$44)))</f>
        <v>449.509754</v>
      </c>
      <c r="F70" s="86">
        <f t="array" ref="F70">IF(ISNUMBER(Inputs!N$72),Inputs!N$72,IF(Inputs!$B$11="Paced to plan",IF(ISNUMBER(F90),F90,IF(ISNUMBER(INDEX($B90:$Y90,1,MAX(1,24-Inputs!$F$30))),INDEX($B90:$Y90,1,MAX(1,24-Inputs!$F$30)),0)),IF(F$4=1,Inputs!$F$43,Inputs!$F$44)))</f>
        <v>441.2282245</v>
      </c>
      <c r="G70" s="86">
        <f t="array" ref="G70">IF(ISNUMBER(Inputs!O$72),Inputs!O$72,IF(Inputs!$B$11="Paced to plan",IF(ISNUMBER(G90),G90,IF(ISNUMBER(INDEX($B90:$Y90,1,MAX(1,24-Inputs!$F$30))),INDEX($B90:$Y90,1,MAX(1,24-Inputs!$F$30)),0)),IF(G$4=1,Inputs!$F$43,Inputs!$F$44)))</f>
        <v>433.0992695</v>
      </c>
      <c r="H70" s="86">
        <f t="array" ref="H70">IF(ISNUMBER(Inputs!P$72),Inputs!P$72,IF(Inputs!$B$11="Paced to plan",IF(ISNUMBER(H90),H90,IF(ISNUMBER(INDEX($B90:$Y90,1,MAX(1,24-Inputs!$F$30))),INDEX($B90:$Y90,1,MAX(1,24-Inputs!$F$30)),0)),IF(H$4=1,Inputs!$F$43,Inputs!$F$44)))</f>
        <v>425.1200781</v>
      </c>
      <c r="I70" s="86">
        <f t="array" ref="I70">IF(ISNUMBER(Inputs!Q$72),Inputs!Q$72,IF(Inputs!$B$11="Paced to plan",IF(ISNUMBER(I90),I90,IF(ISNUMBER(INDEX($B90:$Y90,1,MAX(1,24-Inputs!$F$30))),INDEX($B90:$Y90,1,MAX(1,24-Inputs!$F$30)),0)),IF(I$4=1,Inputs!$F$43,Inputs!$F$44)))</f>
        <v>417.287891</v>
      </c>
      <c r="J70" s="86">
        <f t="array" ref="J70">IF(ISNUMBER(Inputs!R$72),Inputs!R$72,IF(Inputs!$B$11="Paced to plan",IF(ISNUMBER(J90),J90,IF(ISNUMBER(INDEX($B90:$Y90,1,MAX(1,24-Inputs!$F$30))),INDEX($B90:$Y90,1,MAX(1,24-Inputs!$F$30)),0)),IF(J$4=1,Inputs!$F$43,Inputs!$F$44)))</f>
        <v>409.6</v>
      </c>
      <c r="K70" s="86">
        <f t="array" ref="K70">IF(ISNUMBER(Inputs!S$72),Inputs!S$72,IF(Inputs!$B$11="Paced to plan",IF(ISNUMBER(K90),K90,IF(ISNUMBER(INDEX($B90:$Y90,1,MAX(1,24-Inputs!$F$30))),INDEX($B90:$Y90,1,MAX(1,24-Inputs!$F$30)),0)),IF(K$4=1,Inputs!$F$43,Inputs!$F$44)))</f>
        <v>402.0537466</v>
      </c>
      <c r="L70" s="86">
        <f t="array" ref="L70">IF(ISNUMBER(Inputs!T$72),Inputs!T$72,IF(Inputs!$B$11="Paced to plan",IF(ISNUMBER(L90),L90,IF(ISNUMBER(INDEX($B90:$Y90,1,MAX(1,24-Inputs!$F$30))),INDEX($B90:$Y90,1,MAX(1,24-Inputs!$F$30)),0)),IF(L$4=1,Inputs!$F$43,Inputs!$F$44)))</f>
        <v>394.6465214</v>
      </c>
      <c r="M70" s="86">
        <f t="array" ref="M70">IF(ISNUMBER(Inputs!U$72),Inputs!U$72,IF(Inputs!$B$11="Paced to plan",IF(ISNUMBER(M90),M90,IF(ISNUMBER(INDEX($B90:$Y90,1,MAX(1,24-Inputs!$F$30))),INDEX($B90:$Y90,1,MAX(1,24-Inputs!$F$30)),0)),IF(M$4=1,Inputs!$F$43,Inputs!$F$44)))</f>
        <v>387.375763</v>
      </c>
      <c r="N70" s="86">
        <f t="array" ref="N70">IF(ISNUMBER(Inputs!V$72),Inputs!V$72,IF(Inputs!$B$11="Paced to plan",IF(ISNUMBER(N90),N90,IF(ISNUMBER(INDEX($B90:$Y90,1,MAX(1,24-Inputs!$F$30))),INDEX($B90:$Y90,1,MAX(1,24-Inputs!$F$30)),0)),IF(N$4=1,Inputs!$F$43,Inputs!$F$44)))</f>
        <v>380.2389572</v>
      </c>
      <c r="O70" s="86">
        <f t="array" ref="O70">IF(ISNUMBER(Inputs!W$72),Inputs!W$72,IF(Inputs!$B$11="Paced to plan",IF(ISNUMBER(O90),O90,IF(ISNUMBER(INDEX($B90:$Y90,1,MAX(1,24-Inputs!$F$30))),INDEX($B90:$Y90,1,MAX(1,24-Inputs!$F$30)),0)),IF(O$4=1,Inputs!$F$43,Inputs!$F$44)))</f>
        <v>492.0583103</v>
      </c>
      <c r="P70" s="86">
        <f t="array" ref="P70">IF(ISNUMBER(Inputs!X$72),Inputs!X$72,IF(Inputs!$B$11="Paced to plan",IF(ISNUMBER(P90),P90,IF(ISNUMBER(INDEX($B90:$Y90,1,MAX(1,24-Inputs!$F$30))),INDEX($B90:$Y90,1,MAX(1,24-Inputs!$F$30)),0)),IF(P$4=1,Inputs!$F$43,Inputs!$F$44)))</f>
        <v>599.6284</v>
      </c>
      <c r="Q70" s="86">
        <f t="array" ref="Q70">IF(ISNUMBER(Inputs!Y$72),Inputs!Y$72,IF(Inputs!$B$11="Paced to plan",IF(ISNUMBER(Q90),Q90,IF(ISNUMBER(INDEX($B90:$Y90,1,MAX(1,24-Inputs!$F$30))),INDEX($B90:$Y90,1,MAX(1,24-Inputs!$F$30)),0)),IF(Q$4=1,Inputs!$F$43,Inputs!$F$44)))</f>
        <v>703.0678446</v>
      </c>
      <c r="R70" s="86">
        <f t="array" ref="R70">IF(ISNUMBER(Inputs!Z$72),Inputs!Z$72,IF(Inputs!$B$11="Paced to plan",IF(ISNUMBER(R90),R90,IF(ISNUMBER(INDEX($B90:$Y90,1,MAX(1,24-Inputs!$F$30))),INDEX($B90:$Y90,1,MAX(1,24-Inputs!$F$30)),0)),IF(R$4=1,Inputs!$F$43,Inputs!$F$44)))</f>
        <v>690.1148951</v>
      </c>
      <c r="S70" s="86">
        <f t="array" ref="S70">IF(ISNUMBER(Inputs!AA$72),Inputs!AA$72,IF(Inputs!$B$11="Paced to plan",IF(ISNUMBER(S90),S90,IF(ISNUMBER(INDEX($B90:$Y90,1,MAX(1,24-Inputs!$F$30))),INDEX($B90:$Y90,1,MAX(1,24-Inputs!$F$30)),0)),IF(S$4=1,Inputs!$F$43,Inputs!$F$44)))</f>
        <v>677.400584</v>
      </c>
      <c r="T70" s="86">
        <f t="array" ref="T70">IF(ISNUMBER(Inputs!AB$72),Inputs!AB$72,IF(Inputs!$B$11="Paced to plan",IF(ISNUMBER(T90),T90,IF(ISNUMBER(INDEX($B90:$Y90,1,MAX(1,24-Inputs!$F$30))),INDEX($B90:$Y90,1,MAX(1,24-Inputs!$F$30)),0)),IF(T$4=1,Inputs!$F$43,Inputs!$F$44)))</f>
        <v>664.9205146</v>
      </c>
      <c r="U70" s="86">
        <f t="array" ref="U70">IF(ISNUMBER(Inputs!AC$72),Inputs!AC$72,IF(Inputs!$B$11="Paced to plan",IF(ISNUMBER(U90),U90,IF(ISNUMBER(INDEX($B90:$Y90,1,MAX(1,24-Inputs!$F$30))),INDEX($B90:$Y90,1,MAX(1,24-Inputs!$F$30)),0)),IF(U$4=1,Inputs!$F$43,Inputs!$F$44)))</f>
        <v>652.6703713</v>
      </c>
      <c r="V70" s="86">
        <f t="array" ref="V70">IF(ISNUMBER(Inputs!AD$72),Inputs!AD$72,IF(Inputs!$B$11="Paced to plan",IF(ISNUMBER(V90),V90,IF(ISNUMBER(INDEX($B90:$Y90,1,MAX(1,24-Inputs!$F$30))),INDEX($B90:$Y90,1,MAX(1,24-Inputs!$F$30)),0)),IF(V$4=1,Inputs!$F$43,Inputs!$F$44)))</f>
        <v>640.6459182</v>
      </c>
      <c r="W70" s="86">
        <f t="array" ref="W70">IF(ISNUMBER(Inputs!AE$72),Inputs!AE$72,IF(Inputs!$B$11="Paced to plan",IF(ISNUMBER(W90),W90,IF(ISNUMBER(INDEX($B90:$Y90,1,MAX(1,24-Inputs!$F$30))),INDEX($B90:$Y90,1,MAX(1,24-Inputs!$F$30)),0)),IF(W$4=1,Inputs!$F$43,Inputs!$F$44)))</f>
        <v>640.6459182</v>
      </c>
      <c r="X70" s="86">
        <f t="array" ref="X70">IF(ISNUMBER(Inputs!AF$72),Inputs!AF$72,IF(Inputs!$B$11="Paced to plan",IF(ISNUMBER(X90),X90,IF(ISNUMBER(INDEX($B90:$Y90,1,MAX(1,24-Inputs!$F$30))),INDEX($B90:$Y90,1,MAX(1,24-Inputs!$F$30)),0)),IF(X$4=1,Inputs!$F$43,Inputs!$F$44)))</f>
        <v>640.6459182</v>
      </c>
      <c r="Y70" s="86">
        <f t="array" ref="Y70">IF(ISNUMBER(Inputs!AG$72),Inputs!AG$72,IF(Inputs!$B$11="Paced to plan",IF(ISNUMBER(Y90),Y90,IF(ISNUMBER(INDEX($B90:$Y90,1,MAX(1,24-Inputs!$F$30))),INDEX($B90:$Y90,1,MAX(1,24-Inputs!$F$30)),0)),IF(Y$4=1,Inputs!$F$43,Inputs!$F$44)))</f>
        <v>640.6459182</v>
      </c>
      <c r="Z70" s="87">
        <f t="shared" ref="Z70:Z72" si="43">SUM(B70:M70)</f>
        <v>5159.708712</v>
      </c>
      <c r="AA70" s="87">
        <f t="shared" ref="AA70:AA72" si="44">SUM(N70:Y70)</f>
        <v>7422.68355</v>
      </c>
    </row>
    <row r="71" outlineLevel="1">
      <c r="A71" s="6" t="s">
        <v>397</v>
      </c>
      <c r="B71" s="86">
        <f>B70*Inputs!$F$38</f>
        <v>118.8246741</v>
      </c>
      <c r="C71" s="86">
        <f>C70*Inputs!$F$38</f>
        <v>116.6355113</v>
      </c>
      <c r="D71" s="86">
        <f>D70*Inputs!$F$38</f>
        <v>114.4866804</v>
      </c>
      <c r="E71" s="86">
        <f>E70*Inputs!$F$38</f>
        <v>112.3774385</v>
      </c>
      <c r="F71" s="86">
        <f>F70*Inputs!$F$38</f>
        <v>110.3070561</v>
      </c>
      <c r="G71" s="86">
        <f>G70*Inputs!$F$38</f>
        <v>108.2748174</v>
      </c>
      <c r="H71" s="86">
        <f>H70*Inputs!$F$38</f>
        <v>106.2800195</v>
      </c>
      <c r="I71" s="86">
        <f>I70*Inputs!$F$38</f>
        <v>104.3219727</v>
      </c>
      <c r="J71" s="86">
        <f>J70*Inputs!$F$38</f>
        <v>102.4</v>
      </c>
      <c r="K71" s="86">
        <f>K70*Inputs!$F$38</f>
        <v>100.5134367</v>
      </c>
      <c r="L71" s="86">
        <f>L70*Inputs!$F$38</f>
        <v>98.66163036</v>
      </c>
      <c r="M71" s="86">
        <f>M70*Inputs!$F$38</f>
        <v>96.84394076</v>
      </c>
      <c r="N71" s="86">
        <f>N70*Inputs!$F$38</f>
        <v>95.05973931</v>
      </c>
      <c r="O71" s="86">
        <f>O70*Inputs!$F$38</f>
        <v>123.0145776</v>
      </c>
      <c r="P71" s="86">
        <f>P70*Inputs!$F$38</f>
        <v>149.9071</v>
      </c>
      <c r="Q71" s="86">
        <f>Q70*Inputs!$F$38</f>
        <v>175.7669611</v>
      </c>
      <c r="R71" s="86">
        <f>R70*Inputs!$F$38</f>
        <v>172.5287238</v>
      </c>
      <c r="S71" s="86">
        <f>S70*Inputs!$F$38</f>
        <v>169.350146</v>
      </c>
      <c r="T71" s="86">
        <f>T70*Inputs!$F$38</f>
        <v>166.2301286</v>
      </c>
      <c r="U71" s="86">
        <f>U70*Inputs!$F$38</f>
        <v>163.1675928</v>
      </c>
      <c r="V71" s="86">
        <f>V70*Inputs!$F$38</f>
        <v>160.1614796</v>
      </c>
      <c r="W71" s="86">
        <f>W70*Inputs!$F$38</f>
        <v>160.1614796</v>
      </c>
      <c r="X71" s="86">
        <f>X70*Inputs!$F$38</f>
        <v>160.1614796</v>
      </c>
      <c r="Y71" s="86">
        <f>Y70*Inputs!$F$38</f>
        <v>160.1614796</v>
      </c>
      <c r="Z71" s="87">
        <f t="shared" si="43"/>
        <v>1289.927178</v>
      </c>
      <c r="AA71" s="87">
        <f t="shared" si="44"/>
        <v>1855.670888</v>
      </c>
    </row>
    <row r="72" outlineLevel="1">
      <c r="A72" s="6" t="s">
        <v>398</v>
      </c>
      <c r="B72" s="86">
        <f>B71*Inputs!$F$39</f>
        <v>29.70616854</v>
      </c>
      <c r="C72" s="86">
        <f>C71*Inputs!$F$39</f>
        <v>29.15887783</v>
      </c>
      <c r="D72" s="86">
        <f>D71*Inputs!$F$39</f>
        <v>28.62167011</v>
      </c>
      <c r="E72" s="86">
        <f>E71*Inputs!$F$39</f>
        <v>28.09435963</v>
      </c>
      <c r="F72" s="86">
        <f>F71*Inputs!$F$39</f>
        <v>27.57676403</v>
      </c>
      <c r="G72" s="86">
        <f>G71*Inputs!$F$39</f>
        <v>27.06870434</v>
      </c>
      <c r="H72" s="86">
        <f>H71*Inputs!$F$39</f>
        <v>26.57000488</v>
      </c>
      <c r="I72" s="86">
        <f>I71*Inputs!$F$39</f>
        <v>26.08049319</v>
      </c>
      <c r="J72" s="86">
        <f>J71*Inputs!$F$39</f>
        <v>25.6</v>
      </c>
      <c r="K72" s="86">
        <f>K71*Inputs!$F$39</f>
        <v>25.12835916</v>
      </c>
      <c r="L72" s="86">
        <f>L71*Inputs!$F$39</f>
        <v>24.66540759</v>
      </c>
      <c r="M72" s="86">
        <f>M71*Inputs!$F$39</f>
        <v>24.21098519</v>
      </c>
      <c r="N72" s="86">
        <f>N71*Inputs!$F$39</f>
        <v>23.76493483</v>
      </c>
      <c r="O72" s="86">
        <f>O71*Inputs!$F$39</f>
        <v>30.7536444</v>
      </c>
      <c r="P72" s="86">
        <f>P71*Inputs!$F$39</f>
        <v>37.476775</v>
      </c>
      <c r="Q72" s="86">
        <f>Q71*Inputs!$F$39</f>
        <v>43.94174029</v>
      </c>
      <c r="R72" s="86">
        <f>R71*Inputs!$F$39</f>
        <v>43.13218095</v>
      </c>
      <c r="S72" s="86">
        <f>S71*Inputs!$F$39</f>
        <v>42.3375365</v>
      </c>
      <c r="T72" s="86">
        <f>T71*Inputs!$F$39</f>
        <v>41.55753216</v>
      </c>
      <c r="U72" s="86">
        <f>U71*Inputs!$F$39</f>
        <v>40.79189821</v>
      </c>
      <c r="V72" s="86">
        <f>V71*Inputs!$F$39</f>
        <v>40.04036989</v>
      </c>
      <c r="W72" s="86">
        <f>W71*Inputs!$F$39</f>
        <v>40.04036989</v>
      </c>
      <c r="X72" s="86">
        <f>X71*Inputs!$F$39</f>
        <v>40.04036989</v>
      </c>
      <c r="Y72" s="86">
        <f>Y71*Inputs!$F$39</f>
        <v>40.04036989</v>
      </c>
      <c r="Z72" s="87">
        <f t="shared" si="43"/>
        <v>322.4817945</v>
      </c>
      <c r="AA72" s="87">
        <f t="shared" si="44"/>
        <v>463.9177219</v>
      </c>
    </row>
    <row r="73" outlineLevel="1">
      <c r="A73" s="6" t="s">
        <v>399</v>
      </c>
      <c r="B73" s="88">
        <v>0.0</v>
      </c>
      <c r="C73" s="86">
        <f>B77*Inputs!$F$42</f>
        <v>0</v>
      </c>
      <c r="D73" s="86">
        <f>C77*Inputs!$F$42</f>
        <v>0</v>
      </c>
      <c r="E73" s="86">
        <f>D77*Inputs!$F$42</f>
        <v>0</v>
      </c>
      <c r="F73" s="86">
        <f>E77*Inputs!$F$42</f>
        <v>0</v>
      </c>
      <c r="G73" s="86">
        <f>F77*Inputs!$F$42</f>
        <v>0</v>
      </c>
      <c r="H73" s="86">
        <f>G77*Inputs!$F$42</f>
        <v>0</v>
      </c>
      <c r="I73" s="86">
        <f>H77*Inputs!$F$42</f>
        <v>0</v>
      </c>
      <c r="J73" s="86">
        <f>I77*Inputs!$F$42</f>
        <v>0</v>
      </c>
      <c r="K73" s="86">
        <f>J77*Inputs!$F$42</f>
        <v>0</v>
      </c>
      <c r="L73" s="86">
        <f>K77*Inputs!$F$42</f>
        <v>0</v>
      </c>
      <c r="M73" s="86">
        <f>L77*Inputs!$F$42</f>
        <v>0</v>
      </c>
      <c r="N73" s="86">
        <f>M77*Inputs!$F$42</f>
        <v>0</v>
      </c>
      <c r="O73" s="86">
        <f>N77*Inputs!$F$42</f>
        <v>0</v>
      </c>
      <c r="P73" s="86">
        <f>O77*Inputs!$F$42</f>
        <v>0</v>
      </c>
      <c r="Q73" s="86">
        <f>P77*Inputs!$F$42</f>
        <v>0</v>
      </c>
      <c r="R73" s="86">
        <f>Q77*Inputs!$F$42</f>
        <v>0</v>
      </c>
      <c r="S73" s="86">
        <f>R77*Inputs!$F$42</f>
        <v>0</v>
      </c>
      <c r="T73" s="86">
        <f>S77*Inputs!$F$42</f>
        <v>0</v>
      </c>
      <c r="U73" s="86">
        <f>T77*Inputs!$F$42</f>
        <v>0</v>
      </c>
      <c r="V73" s="86">
        <f>U77*Inputs!$F$42</f>
        <v>0</v>
      </c>
      <c r="W73" s="86">
        <f>V77*Inputs!$F$42</f>
        <v>0</v>
      </c>
      <c r="X73" s="86">
        <f>W77*Inputs!$F$42</f>
        <v>0</v>
      </c>
      <c r="Y73" s="86">
        <f>X77*Inputs!$F$42</f>
        <v>0</v>
      </c>
      <c r="Z73" s="87"/>
      <c r="AA73" s="87"/>
    </row>
    <row r="74" outlineLevel="1">
      <c r="A74" s="6" t="s">
        <v>400</v>
      </c>
      <c r="B74" s="86">
        <f t="shared" ref="B74:Y74" si="45">B72+B73</f>
        <v>29.70616854</v>
      </c>
      <c r="C74" s="86">
        <f t="shared" si="45"/>
        <v>29.15887783</v>
      </c>
      <c r="D74" s="86">
        <f t="shared" si="45"/>
        <v>28.62167011</v>
      </c>
      <c r="E74" s="86">
        <f t="shared" si="45"/>
        <v>28.09435963</v>
      </c>
      <c r="F74" s="86">
        <f t="shared" si="45"/>
        <v>27.57676403</v>
      </c>
      <c r="G74" s="86">
        <f t="shared" si="45"/>
        <v>27.06870434</v>
      </c>
      <c r="H74" s="86">
        <f t="shared" si="45"/>
        <v>26.57000488</v>
      </c>
      <c r="I74" s="86">
        <f t="shared" si="45"/>
        <v>26.08049319</v>
      </c>
      <c r="J74" s="86">
        <f t="shared" si="45"/>
        <v>25.6</v>
      </c>
      <c r="K74" s="86">
        <f t="shared" si="45"/>
        <v>25.12835916</v>
      </c>
      <c r="L74" s="86">
        <f t="shared" si="45"/>
        <v>24.66540759</v>
      </c>
      <c r="M74" s="86">
        <f t="shared" si="45"/>
        <v>24.21098519</v>
      </c>
      <c r="N74" s="86">
        <f t="shared" si="45"/>
        <v>23.76493483</v>
      </c>
      <c r="O74" s="86">
        <f t="shared" si="45"/>
        <v>30.7536444</v>
      </c>
      <c r="P74" s="86">
        <f t="shared" si="45"/>
        <v>37.476775</v>
      </c>
      <c r="Q74" s="86">
        <f t="shared" si="45"/>
        <v>43.94174029</v>
      </c>
      <c r="R74" s="86">
        <f t="shared" si="45"/>
        <v>43.13218095</v>
      </c>
      <c r="S74" s="86">
        <f t="shared" si="45"/>
        <v>42.3375365</v>
      </c>
      <c r="T74" s="86">
        <f t="shared" si="45"/>
        <v>41.55753216</v>
      </c>
      <c r="U74" s="86">
        <f t="shared" si="45"/>
        <v>40.79189821</v>
      </c>
      <c r="V74" s="86">
        <f t="shared" si="45"/>
        <v>40.04036989</v>
      </c>
      <c r="W74" s="86">
        <f t="shared" si="45"/>
        <v>40.04036989</v>
      </c>
      <c r="X74" s="86">
        <f t="shared" si="45"/>
        <v>40.04036989</v>
      </c>
      <c r="Y74" s="86">
        <f t="shared" si="45"/>
        <v>40.04036989</v>
      </c>
      <c r="Z74" s="87">
        <f t="shared" ref="Z74:Z76" si="46">SUM(B74:M74)</f>
        <v>322.4817945</v>
      </c>
      <c r="AA74" s="87">
        <f t="shared" ref="AA74:AA76" si="47">SUM(N74:Y74)</f>
        <v>463.9177219</v>
      </c>
    </row>
    <row r="75" outlineLevel="1">
      <c r="A75" s="6" t="s">
        <v>401</v>
      </c>
      <c r="B75" s="86">
        <f>Capacity!B48*'Rep capacity'!$C$28</f>
        <v>31.41044896</v>
      </c>
      <c r="C75" s="86">
        <f>Capacity!C48*'Rep capacity'!$C$28</f>
        <v>30.83175949</v>
      </c>
      <c r="D75" s="86">
        <f>Capacity!D48*'Rep capacity'!$C$28</f>
        <v>30.26373149</v>
      </c>
      <c r="E75" s="86">
        <f>Capacity!E48*'Rep capacity'!$C$28</f>
        <v>29.70616854</v>
      </c>
      <c r="F75" s="86">
        <f>Capacity!F48*'Rep capacity'!$C$28</f>
        <v>29.15887783</v>
      </c>
      <c r="G75" s="86">
        <f>Capacity!G48*'Rep capacity'!$C$28</f>
        <v>28.62167011</v>
      </c>
      <c r="H75" s="86">
        <f>Capacity!H48*'Rep capacity'!$C$28</f>
        <v>28.09435963</v>
      </c>
      <c r="I75" s="86">
        <f>Capacity!I48*'Rep capacity'!$C$28</f>
        <v>27.57676403</v>
      </c>
      <c r="J75" s="86">
        <f>Capacity!J48*'Rep capacity'!$C$28</f>
        <v>27.06870434</v>
      </c>
      <c r="K75" s="86">
        <f>Capacity!K48*'Rep capacity'!$C$28</f>
        <v>26.57000488</v>
      </c>
      <c r="L75" s="86">
        <f>Capacity!L48*'Rep capacity'!$C$28</f>
        <v>26.08049319</v>
      </c>
      <c r="M75" s="86">
        <f>Capacity!M48*'Rep capacity'!$C$28</f>
        <v>25.6</v>
      </c>
      <c r="N75" s="86">
        <f>Capacity!N48*'Rep capacity'!$C$28</f>
        <v>25.12835916</v>
      </c>
      <c r="O75" s="86">
        <f>Capacity!O48*'Rep capacity'!$C$28</f>
        <v>32.51801983</v>
      </c>
      <c r="P75" s="86">
        <f>Capacity!P48*'Rep capacity'!$C$28</f>
        <v>39.62686493</v>
      </c>
      <c r="Q75" s="86">
        <f>Capacity!Q48*'Rep capacity'!$C$28</f>
        <v>46.46273344</v>
      </c>
      <c r="R75" s="86">
        <f>Capacity!R48*'Rep capacity'!$C$28</f>
        <v>45.60672866</v>
      </c>
      <c r="S75" s="86">
        <f>Capacity!S48*'Rep capacity'!$C$28</f>
        <v>44.76649446</v>
      </c>
      <c r="T75" s="86">
        <f>Capacity!T48*'Rep capacity'!$C$28</f>
        <v>43.94174029</v>
      </c>
      <c r="U75" s="86">
        <f>Capacity!U48*'Rep capacity'!$C$28</f>
        <v>43.13218095</v>
      </c>
      <c r="V75" s="86">
        <f>Capacity!V48*'Rep capacity'!$C$28</f>
        <v>42.3375365</v>
      </c>
      <c r="W75" s="86">
        <f>Capacity!W48*'Rep capacity'!$C$28</f>
        <v>41.55753216</v>
      </c>
      <c r="X75" s="86">
        <f>Capacity!X48*'Rep capacity'!$C$28</f>
        <v>40.79189821</v>
      </c>
      <c r="Y75" s="86">
        <f>Capacity!Y48*'Rep capacity'!$C$28</f>
        <v>40.04036989</v>
      </c>
      <c r="Z75" s="87">
        <f t="shared" si="46"/>
        <v>340.9829825</v>
      </c>
      <c r="AA75" s="87">
        <f t="shared" si="47"/>
        <v>485.9104585</v>
      </c>
    </row>
    <row r="76" outlineLevel="1">
      <c r="A76" s="12" t="s">
        <v>402</v>
      </c>
      <c r="B76" s="87">
        <f t="shared" ref="B76:Y76" si="48">MIN(B74,B75)</f>
        <v>29.70616854</v>
      </c>
      <c r="C76" s="87">
        <f t="shared" si="48"/>
        <v>29.15887783</v>
      </c>
      <c r="D76" s="87">
        <f t="shared" si="48"/>
        <v>28.62167011</v>
      </c>
      <c r="E76" s="87">
        <f t="shared" si="48"/>
        <v>28.09435963</v>
      </c>
      <c r="F76" s="87">
        <f t="shared" si="48"/>
        <v>27.57676403</v>
      </c>
      <c r="G76" s="87">
        <f t="shared" si="48"/>
        <v>27.06870434</v>
      </c>
      <c r="H76" s="87">
        <f t="shared" si="48"/>
        <v>26.57000488</v>
      </c>
      <c r="I76" s="87">
        <f t="shared" si="48"/>
        <v>26.08049319</v>
      </c>
      <c r="J76" s="87">
        <f t="shared" si="48"/>
        <v>25.6</v>
      </c>
      <c r="K76" s="87">
        <f t="shared" si="48"/>
        <v>25.12835916</v>
      </c>
      <c r="L76" s="87">
        <f t="shared" si="48"/>
        <v>24.66540759</v>
      </c>
      <c r="M76" s="87">
        <f t="shared" si="48"/>
        <v>24.21098519</v>
      </c>
      <c r="N76" s="87">
        <f t="shared" si="48"/>
        <v>23.76493483</v>
      </c>
      <c r="O76" s="87">
        <f t="shared" si="48"/>
        <v>30.7536444</v>
      </c>
      <c r="P76" s="87">
        <f t="shared" si="48"/>
        <v>37.476775</v>
      </c>
      <c r="Q76" s="87">
        <f t="shared" si="48"/>
        <v>43.94174029</v>
      </c>
      <c r="R76" s="87">
        <f t="shared" si="48"/>
        <v>43.13218095</v>
      </c>
      <c r="S76" s="87">
        <f t="shared" si="48"/>
        <v>42.3375365</v>
      </c>
      <c r="T76" s="87">
        <f t="shared" si="48"/>
        <v>41.55753216</v>
      </c>
      <c r="U76" s="87">
        <f t="shared" si="48"/>
        <v>40.79189821</v>
      </c>
      <c r="V76" s="87">
        <f t="shared" si="48"/>
        <v>40.04036989</v>
      </c>
      <c r="W76" s="87">
        <f t="shared" si="48"/>
        <v>40.04036989</v>
      </c>
      <c r="X76" s="87">
        <f t="shared" si="48"/>
        <v>40.04036989</v>
      </c>
      <c r="Y76" s="87">
        <f t="shared" si="48"/>
        <v>40.04036989</v>
      </c>
      <c r="Z76" s="87">
        <f t="shared" si="46"/>
        <v>322.4817945</v>
      </c>
      <c r="AA76" s="87">
        <f t="shared" si="47"/>
        <v>463.9177219</v>
      </c>
    </row>
    <row r="77" outlineLevel="1">
      <c r="A77" s="6" t="s">
        <v>403</v>
      </c>
      <c r="B77" s="86">
        <f t="shared" ref="B77:Y77" si="49">B74-B76</f>
        <v>0</v>
      </c>
      <c r="C77" s="86">
        <f t="shared" si="49"/>
        <v>0</v>
      </c>
      <c r="D77" s="86">
        <f t="shared" si="49"/>
        <v>0</v>
      </c>
      <c r="E77" s="86">
        <f t="shared" si="49"/>
        <v>0</v>
      </c>
      <c r="F77" s="86">
        <f t="shared" si="49"/>
        <v>0</v>
      </c>
      <c r="G77" s="86">
        <f t="shared" si="49"/>
        <v>0</v>
      </c>
      <c r="H77" s="86">
        <f t="shared" si="49"/>
        <v>0</v>
      </c>
      <c r="I77" s="86">
        <f t="shared" si="49"/>
        <v>0</v>
      </c>
      <c r="J77" s="86">
        <f t="shared" si="49"/>
        <v>0</v>
      </c>
      <c r="K77" s="86">
        <f t="shared" si="49"/>
        <v>0</v>
      </c>
      <c r="L77" s="86">
        <f t="shared" si="49"/>
        <v>0</v>
      </c>
      <c r="M77" s="86">
        <f t="shared" si="49"/>
        <v>0</v>
      </c>
      <c r="N77" s="86">
        <f t="shared" si="49"/>
        <v>0</v>
      </c>
      <c r="O77" s="86">
        <f t="shared" si="49"/>
        <v>0</v>
      </c>
      <c r="P77" s="86">
        <f t="shared" si="49"/>
        <v>0</v>
      </c>
      <c r="Q77" s="86">
        <f t="shared" si="49"/>
        <v>0</v>
      </c>
      <c r="R77" s="86">
        <f t="shared" si="49"/>
        <v>0</v>
      </c>
      <c r="S77" s="86">
        <f t="shared" si="49"/>
        <v>0</v>
      </c>
      <c r="T77" s="86">
        <f t="shared" si="49"/>
        <v>0</v>
      </c>
      <c r="U77" s="86">
        <f t="shared" si="49"/>
        <v>0</v>
      </c>
      <c r="V77" s="86">
        <f t="shared" si="49"/>
        <v>0</v>
      </c>
      <c r="W77" s="86">
        <f t="shared" si="49"/>
        <v>0</v>
      </c>
      <c r="X77" s="86">
        <f t="shared" si="49"/>
        <v>0</v>
      </c>
      <c r="Y77" s="86">
        <f t="shared" si="49"/>
        <v>0</v>
      </c>
      <c r="Z77" s="87">
        <f>M77</f>
        <v>0</v>
      </c>
      <c r="AA77" s="87">
        <f>Y77</f>
        <v>0</v>
      </c>
    </row>
    <row r="78" outlineLevel="1">
      <c r="A78" s="6" t="s">
        <v>404</v>
      </c>
      <c r="B78" s="88">
        <v>0.0</v>
      </c>
      <c r="C78" s="86">
        <f>B77*(1-Inputs!$F$42)</f>
        <v>0</v>
      </c>
      <c r="D78" s="86">
        <f>C77*(1-Inputs!$F$42)</f>
        <v>0</v>
      </c>
      <c r="E78" s="86">
        <f>D77*(1-Inputs!$F$42)</f>
        <v>0</v>
      </c>
      <c r="F78" s="86">
        <f>E77*(1-Inputs!$F$42)</f>
        <v>0</v>
      </c>
      <c r="G78" s="86">
        <f>F77*(1-Inputs!$F$42)</f>
        <v>0</v>
      </c>
      <c r="H78" s="86">
        <f>G77*(1-Inputs!$F$42)</f>
        <v>0</v>
      </c>
      <c r="I78" s="86">
        <f>H77*(1-Inputs!$F$42)</f>
        <v>0</v>
      </c>
      <c r="J78" s="86">
        <f>I77*(1-Inputs!$F$42)</f>
        <v>0</v>
      </c>
      <c r="K78" s="86">
        <f>J77*(1-Inputs!$F$42)</f>
        <v>0</v>
      </c>
      <c r="L78" s="86">
        <f>K77*(1-Inputs!$F$42)</f>
        <v>0</v>
      </c>
      <c r="M78" s="86">
        <f>L77*(1-Inputs!$F$42)</f>
        <v>0</v>
      </c>
      <c r="N78" s="86">
        <f>M77*(1-Inputs!$F$42)</f>
        <v>0</v>
      </c>
      <c r="O78" s="86">
        <f>N77*(1-Inputs!$F$42)</f>
        <v>0</v>
      </c>
      <c r="P78" s="86">
        <f>O77*(1-Inputs!$F$42)</f>
        <v>0</v>
      </c>
      <c r="Q78" s="86">
        <f>P77*(1-Inputs!$F$42)</f>
        <v>0</v>
      </c>
      <c r="R78" s="86">
        <f>Q77*(1-Inputs!$F$42)</f>
        <v>0</v>
      </c>
      <c r="S78" s="86">
        <f>R77*(1-Inputs!$F$42)</f>
        <v>0</v>
      </c>
      <c r="T78" s="86">
        <f>S77*(1-Inputs!$F$42)</f>
        <v>0</v>
      </c>
      <c r="U78" s="86">
        <f>T77*(1-Inputs!$F$42)</f>
        <v>0</v>
      </c>
      <c r="V78" s="86">
        <f>U77*(1-Inputs!$F$42)</f>
        <v>0</v>
      </c>
      <c r="W78" s="86">
        <f>V77*(1-Inputs!$F$42)</f>
        <v>0</v>
      </c>
      <c r="X78" s="86">
        <f>W77*(1-Inputs!$F$42)</f>
        <v>0</v>
      </c>
      <c r="Y78" s="86">
        <f>X77*(1-Inputs!$F$42)</f>
        <v>0</v>
      </c>
      <c r="Z78" s="87">
        <f t="shared" ref="Z78:Z90" si="50">SUM(B78:M78)</f>
        <v>0</v>
      </c>
      <c r="AA78" s="87">
        <f t="shared" ref="AA78:AA90" si="51">SUM(N78:Y78)</f>
        <v>0</v>
      </c>
    </row>
    <row r="79" outlineLevel="1">
      <c r="A79" s="6" t="s">
        <v>405</v>
      </c>
      <c r="B79" s="70">
        <f>B76*Inputs!$F$25</f>
        <v>712948.0448</v>
      </c>
      <c r="C79" s="70">
        <f>C76*Inputs!$F$25</f>
        <v>699813.0678</v>
      </c>
      <c r="D79" s="70">
        <f>D76*Inputs!$F$25</f>
        <v>686920.0827</v>
      </c>
      <c r="E79" s="70">
        <f>E76*Inputs!$F$25</f>
        <v>674264.6311</v>
      </c>
      <c r="F79" s="70">
        <f>F76*Inputs!$F$25</f>
        <v>661842.3368</v>
      </c>
      <c r="G79" s="70">
        <f>G76*Inputs!$F$25</f>
        <v>649648.9043</v>
      </c>
      <c r="H79" s="70">
        <f>H76*Inputs!$F$25</f>
        <v>637680.1171</v>
      </c>
      <c r="I79" s="70">
        <f>I76*Inputs!$F$25</f>
        <v>625931.8365</v>
      </c>
      <c r="J79" s="70">
        <f>J76*Inputs!$F$25</f>
        <v>614400</v>
      </c>
      <c r="K79" s="70">
        <f>K76*Inputs!$F$25</f>
        <v>603080.62</v>
      </c>
      <c r="L79" s="70">
        <f>L76*Inputs!$F$25</f>
        <v>591969.7822</v>
      </c>
      <c r="M79" s="70">
        <f>M76*Inputs!$F$25</f>
        <v>581063.6446</v>
      </c>
      <c r="N79" s="70">
        <f>N76*Inputs!$F$25</f>
        <v>570358.4359</v>
      </c>
      <c r="O79" s="70">
        <f>O76*Inputs!$F$25</f>
        <v>738087.4655</v>
      </c>
      <c r="P79" s="70">
        <f>P76*Inputs!$F$25</f>
        <v>899442.6001</v>
      </c>
      <c r="Q79" s="70">
        <f>Q76*Inputs!$F$25</f>
        <v>1054601.767</v>
      </c>
      <c r="R79" s="70">
        <f>R76*Inputs!$F$25</f>
        <v>1035172.343</v>
      </c>
      <c r="S79" s="70">
        <f>S76*Inputs!$F$25</f>
        <v>1016100.876</v>
      </c>
      <c r="T79" s="70">
        <f>T76*Inputs!$F$25</f>
        <v>997380.7719</v>
      </c>
      <c r="U79" s="70">
        <f>U76*Inputs!$F$25</f>
        <v>979005.557</v>
      </c>
      <c r="V79" s="70">
        <f>V76*Inputs!$F$25</f>
        <v>960968.8774</v>
      </c>
      <c r="W79" s="70">
        <f>W76*Inputs!$F$25</f>
        <v>960968.8774</v>
      </c>
      <c r="X79" s="70">
        <f>X76*Inputs!$F$25</f>
        <v>960968.8774</v>
      </c>
      <c r="Y79" s="70">
        <f>Y76*Inputs!$F$25</f>
        <v>960968.8774</v>
      </c>
      <c r="Z79" s="71">
        <f t="shared" si="50"/>
        <v>7739563.068</v>
      </c>
      <c r="AA79" s="71">
        <f t="shared" si="51"/>
        <v>11134025.33</v>
      </c>
    </row>
    <row r="80" outlineLevel="1">
      <c r="A80" s="6" t="s">
        <v>406</v>
      </c>
      <c r="B80" s="70">
        <f>IF(B$2&lt;=MAX(1,Inputs!$F$30),Inputs!$F$41/MAX(1,Inputs!$F$30),0)</f>
        <v>768000</v>
      </c>
      <c r="C80" s="70">
        <f>IF(C$2&lt;=MAX(1,Inputs!$F$30),Inputs!$F$41/MAX(1,Inputs!$F$30),0)</f>
        <v>768000</v>
      </c>
      <c r="D80" s="70">
        <f>IF(D$2&lt;=MAX(1,Inputs!$F$30),Inputs!$F$41/MAX(1,Inputs!$F$30),0)</f>
        <v>768000</v>
      </c>
      <c r="E80" s="70">
        <f>IF(E$2&lt;=MAX(1,Inputs!$F$30),Inputs!$F$41/MAX(1,Inputs!$F$30),0)</f>
        <v>0</v>
      </c>
      <c r="F80" s="70">
        <f>IF(F$2&lt;=MAX(1,Inputs!$F$30),Inputs!$F$41/MAX(1,Inputs!$F$30),0)</f>
        <v>0</v>
      </c>
      <c r="G80" s="70">
        <f>IF(G$2&lt;=MAX(1,Inputs!$F$30),Inputs!$F$41/MAX(1,Inputs!$F$30),0)</f>
        <v>0</v>
      </c>
      <c r="H80" s="70">
        <f>IF(H$2&lt;=MAX(1,Inputs!$F$30),Inputs!$F$41/MAX(1,Inputs!$F$30),0)</f>
        <v>0</v>
      </c>
      <c r="I80" s="70">
        <f>IF(I$2&lt;=MAX(1,Inputs!$F$30),Inputs!$F$41/MAX(1,Inputs!$F$30),0)</f>
        <v>0</v>
      </c>
      <c r="J80" s="70">
        <f>IF(J$2&lt;=MAX(1,Inputs!$F$30),Inputs!$F$41/MAX(1,Inputs!$F$30),0)</f>
        <v>0</v>
      </c>
      <c r="K80" s="70">
        <f>IF(K$2&lt;=MAX(1,Inputs!$F$30),Inputs!$F$41/MAX(1,Inputs!$F$30),0)</f>
        <v>0</v>
      </c>
      <c r="L80" s="70">
        <f>IF(L$2&lt;=MAX(1,Inputs!$F$30),Inputs!$F$41/MAX(1,Inputs!$F$30),0)</f>
        <v>0</v>
      </c>
      <c r="M80" s="70">
        <f>IF(M$2&lt;=MAX(1,Inputs!$F$30),Inputs!$F$41/MAX(1,Inputs!$F$30),0)</f>
        <v>0</v>
      </c>
      <c r="N80" s="70">
        <f>IF(N$2&lt;=MAX(1,Inputs!$F$30),Inputs!$F$41/MAX(1,Inputs!$F$30),0)</f>
        <v>0</v>
      </c>
      <c r="O80" s="70">
        <f>IF(O$2&lt;=MAX(1,Inputs!$F$30),Inputs!$F$41/MAX(1,Inputs!$F$30),0)</f>
        <v>0</v>
      </c>
      <c r="P80" s="70">
        <f>IF(P$2&lt;=MAX(1,Inputs!$F$30),Inputs!$F$41/MAX(1,Inputs!$F$30),0)</f>
        <v>0</v>
      </c>
      <c r="Q80" s="70">
        <f>IF(Q$2&lt;=MAX(1,Inputs!$F$30),Inputs!$F$41/MAX(1,Inputs!$F$30),0)</f>
        <v>0</v>
      </c>
      <c r="R80" s="70">
        <f>IF(R$2&lt;=MAX(1,Inputs!$F$30),Inputs!$F$41/MAX(1,Inputs!$F$30),0)</f>
        <v>0</v>
      </c>
      <c r="S80" s="70">
        <f>IF(S$2&lt;=MAX(1,Inputs!$F$30),Inputs!$F$41/MAX(1,Inputs!$F$30),0)</f>
        <v>0</v>
      </c>
      <c r="T80" s="70">
        <f>IF(T$2&lt;=MAX(1,Inputs!$F$30),Inputs!$F$41/MAX(1,Inputs!$F$30),0)</f>
        <v>0</v>
      </c>
      <c r="U80" s="70">
        <f>IF(U$2&lt;=MAX(1,Inputs!$F$30),Inputs!$F$41/MAX(1,Inputs!$F$30),0)</f>
        <v>0</v>
      </c>
      <c r="V80" s="70">
        <f>IF(V$2&lt;=MAX(1,Inputs!$F$30),Inputs!$F$41/MAX(1,Inputs!$F$30),0)</f>
        <v>0</v>
      </c>
      <c r="W80" s="70">
        <f>IF(W$2&lt;=MAX(1,Inputs!$F$30),Inputs!$F$41/MAX(1,Inputs!$F$30),0)</f>
        <v>0</v>
      </c>
      <c r="X80" s="70">
        <f>IF(X$2&lt;=MAX(1,Inputs!$F$30),Inputs!$F$41/MAX(1,Inputs!$F$30),0)</f>
        <v>0</v>
      </c>
      <c r="Y80" s="70">
        <f>IF(Y$2&lt;=MAX(1,Inputs!$F$30),Inputs!$F$41/MAX(1,Inputs!$F$30),0)</f>
        <v>0</v>
      </c>
      <c r="Z80" s="71">
        <f t="shared" si="50"/>
        <v>2304000</v>
      </c>
      <c r="AA80" s="71">
        <f t="shared" si="51"/>
        <v>0</v>
      </c>
    </row>
    <row r="81" outlineLevel="1">
      <c r="A81" s="6" t="s">
        <v>407</v>
      </c>
      <c r="B81" s="70">
        <f>IF(Inputs!$F$24=0,0,Capacity!B53/Inputs!$F$24)</f>
        <v>0</v>
      </c>
      <c r="C81" s="70">
        <f>IF(Inputs!$F$24=0,0,Capacity!C53/Inputs!$F$24)</f>
        <v>0</v>
      </c>
      <c r="D81" s="70">
        <f>IF(Inputs!$F$24=0,0,Capacity!D53/Inputs!$F$24)</f>
        <v>0</v>
      </c>
      <c r="E81" s="70">
        <f>IF(Inputs!$F$24=0,0,Capacity!E53/Inputs!$F$24)</f>
        <v>0</v>
      </c>
      <c r="F81" s="70">
        <f>IF(Inputs!$F$24=0,0,Capacity!F53/Inputs!$F$24)</f>
        <v>0</v>
      </c>
      <c r="G81" s="70">
        <f>IF(Inputs!$F$24=0,0,Capacity!G53/Inputs!$F$24)</f>
        <v>0</v>
      </c>
      <c r="H81" s="70">
        <f>IF(Inputs!$F$24=0,0,Capacity!H53/Inputs!$F$24)</f>
        <v>0</v>
      </c>
      <c r="I81" s="70">
        <f>IF(Inputs!$F$24=0,0,Capacity!I53/Inputs!$F$24)</f>
        <v>0</v>
      </c>
      <c r="J81" s="70">
        <f>IF(Inputs!$F$24=0,0,Capacity!J53/Inputs!$F$24)</f>
        <v>0</v>
      </c>
      <c r="K81" s="70">
        <f>IF(Inputs!$F$24=0,0,Capacity!K53/Inputs!$F$24)</f>
        <v>0</v>
      </c>
      <c r="L81" s="70">
        <f>IF(Inputs!$F$24=0,0,Capacity!L53/Inputs!$F$24)</f>
        <v>0</v>
      </c>
      <c r="M81" s="70">
        <f>IF(Inputs!$F$24=0,0,Capacity!M53/Inputs!$F$24)</f>
        <v>0</v>
      </c>
      <c r="N81" s="70">
        <f>IF(Inputs!$F$24=0,0,Capacity!N53/Inputs!$F$24)</f>
        <v>0</v>
      </c>
      <c r="O81" s="70">
        <f>IF(Inputs!$F$24=0,0,Capacity!O53/Inputs!$F$24)</f>
        <v>0</v>
      </c>
      <c r="P81" s="70">
        <f>IF(Inputs!$F$24=0,0,Capacity!P53/Inputs!$F$24)</f>
        <v>0</v>
      </c>
      <c r="Q81" s="70">
        <f>IF(Inputs!$F$24=0,0,Capacity!Q53/Inputs!$F$24)</f>
        <v>0</v>
      </c>
      <c r="R81" s="70">
        <f>IF(Inputs!$F$24=0,0,Capacity!R53/Inputs!$F$24)</f>
        <v>0</v>
      </c>
      <c r="S81" s="70">
        <f>IF(Inputs!$F$24=0,0,Capacity!S53/Inputs!$F$24)</f>
        <v>0</v>
      </c>
      <c r="T81" s="70">
        <f>IF(Inputs!$F$24=0,0,Capacity!T53/Inputs!$F$24)</f>
        <v>0</v>
      </c>
      <c r="U81" s="70">
        <f>IF(Inputs!$F$24=0,0,Capacity!U53/Inputs!$F$24)</f>
        <v>0</v>
      </c>
      <c r="V81" s="70">
        <f>IF(Inputs!$F$24=0,0,Capacity!V53/Inputs!$F$24)</f>
        <v>0</v>
      </c>
      <c r="W81" s="70">
        <f>IF(Inputs!$F$24=0,0,Capacity!W53/Inputs!$F$24)</f>
        <v>0</v>
      </c>
      <c r="X81" s="70">
        <f>IF(Inputs!$F$24=0,0,Capacity!X53/Inputs!$F$24)</f>
        <v>0</v>
      </c>
      <c r="Y81" s="70">
        <f>IF(Inputs!$F$24=0,0,Capacity!Y53/Inputs!$F$24)</f>
        <v>0</v>
      </c>
      <c r="Z81" s="71">
        <f t="shared" si="50"/>
        <v>0</v>
      </c>
      <c r="AA81" s="71">
        <f t="shared" si="51"/>
        <v>0</v>
      </c>
    </row>
    <row r="82" outlineLevel="1">
      <c r="A82" s="6" t="s">
        <v>408</v>
      </c>
      <c r="B82" s="70">
        <f t="array" ref="B82">IF(B$2-Inputs!$F$30&lt;1,0,INDEX($B79:$Y79,1,B$2-Inputs!$F$30))+B80+B81</f>
        <v>768000</v>
      </c>
      <c r="C82" s="70">
        <f t="array" ref="C82">IF(C$2-Inputs!$F$30&lt;1,0,INDEX($B79:$Y79,1,C$2-Inputs!$F$30))+C80+C81</f>
        <v>768000</v>
      </c>
      <c r="D82" s="70">
        <f t="array" ref="D82">IF(D$2-Inputs!$F$30&lt;1,0,INDEX($B79:$Y79,1,D$2-Inputs!$F$30))+D80+D81</f>
        <v>768000</v>
      </c>
      <c r="E82" s="70">
        <f t="array" ref="E82">IF(E$2-Inputs!$F$30&lt;1,0,INDEX($B79:$Y79,1,E$2-Inputs!$F$30))+E80+E81</f>
        <v>712948.0448</v>
      </c>
      <c r="F82" s="70">
        <f t="array" ref="F82">IF(F$2-Inputs!$F$30&lt;1,0,INDEX($B79:$Y79,1,F$2-Inputs!$F$30))+F80+F81</f>
        <v>699813.0678</v>
      </c>
      <c r="G82" s="70">
        <f t="array" ref="G82">IF(G$2-Inputs!$F$30&lt;1,0,INDEX($B79:$Y79,1,G$2-Inputs!$F$30))+G80+G81</f>
        <v>686920.0827</v>
      </c>
      <c r="H82" s="70">
        <f t="array" ref="H82">IF(H$2-Inputs!$F$30&lt;1,0,INDEX($B79:$Y79,1,H$2-Inputs!$F$30))+H80+H81</f>
        <v>674264.6311</v>
      </c>
      <c r="I82" s="70">
        <f t="array" ref="I82">IF(I$2-Inputs!$F$30&lt;1,0,INDEX($B79:$Y79,1,I$2-Inputs!$F$30))+I80+I81</f>
        <v>661842.3368</v>
      </c>
      <c r="J82" s="70">
        <f t="array" ref="J82">IF(J$2-Inputs!$F$30&lt;1,0,INDEX($B79:$Y79,1,J$2-Inputs!$F$30))+J80+J81</f>
        <v>649648.9043</v>
      </c>
      <c r="K82" s="70">
        <f t="array" ref="K82">IF(K$2-Inputs!$F$30&lt;1,0,INDEX($B79:$Y79,1,K$2-Inputs!$F$30))+K80+K81</f>
        <v>637680.1171</v>
      </c>
      <c r="L82" s="70">
        <f t="array" ref="L82">IF(L$2-Inputs!$F$30&lt;1,0,INDEX($B79:$Y79,1,L$2-Inputs!$F$30))+L80+L81</f>
        <v>625931.8365</v>
      </c>
      <c r="M82" s="70">
        <f t="array" ref="M82">IF(M$2-Inputs!$F$30&lt;1,0,INDEX($B79:$Y79,1,M$2-Inputs!$F$30))+M80+M81</f>
        <v>614400</v>
      </c>
      <c r="N82" s="70">
        <f t="array" ref="N82">IF(N$2-Inputs!$F$30&lt;1,0,INDEX($B79:$Y79,1,N$2-Inputs!$F$30))+N80+N81</f>
        <v>603080.62</v>
      </c>
      <c r="O82" s="70">
        <f t="array" ref="O82">IF(O$2-Inputs!$F$30&lt;1,0,INDEX($B79:$Y79,1,O$2-Inputs!$F$30))+O80+O81</f>
        <v>591969.7822</v>
      </c>
      <c r="P82" s="70">
        <f t="array" ref="P82">IF(P$2-Inputs!$F$30&lt;1,0,INDEX($B79:$Y79,1,P$2-Inputs!$F$30))+P80+P81</f>
        <v>581063.6446</v>
      </c>
      <c r="Q82" s="70">
        <f t="array" ref="Q82">IF(Q$2-Inputs!$F$30&lt;1,0,INDEX($B79:$Y79,1,Q$2-Inputs!$F$30))+Q80+Q81</f>
        <v>570358.4359</v>
      </c>
      <c r="R82" s="70">
        <f t="array" ref="R82">IF(R$2-Inputs!$F$30&lt;1,0,INDEX($B79:$Y79,1,R$2-Inputs!$F$30))+R80+R81</f>
        <v>738087.4655</v>
      </c>
      <c r="S82" s="70">
        <f t="array" ref="S82">IF(S$2-Inputs!$F$30&lt;1,0,INDEX($B79:$Y79,1,S$2-Inputs!$F$30))+S80+S81</f>
        <v>899442.6001</v>
      </c>
      <c r="T82" s="70">
        <f t="array" ref="T82">IF(T$2-Inputs!$F$30&lt;1,0,INDEX($B79:$Y79,1,T$2-Inputs!$F$30))+T80+T81</f>
        <v>1054601.767</v>
      </c>
      <c r="U82" s="70">
        <f t="array" ref="U82">IF(U$2-Inputs!$F$30&lt;1,0,INDEX($B79:$Y79,1,U$2-Inputs!$F$30))+U80+U81</f>
        <v>1035172.343</v>
      </c>
      <c r="V82" s="70">
        <f t="array" ref="V82">IF(V$2-Inputs!$F$30&lt;1,0,INDEX($B79:$Y79,1,V$2-Inputs!$F$30))+V80+V81</f>
        <v>1016100.876</v>
      </c>
      <c r="W82" s="70">
        <f t="array" ref="W82">IF(W$2-Inputs!$F$30&lt;1,0,INDEX($B79:$Y79,1,W$2-Inputs!$F$30))+W80+W81</f>
        <v>997380.7719</v>
      </c>
      <c r="X82" s="70">
        <f t="array" ref="X82">IF(X$2-Inputs!$F$30&lt;1,0,INDEX($B79:$Y79,1,X$2-Inputs!$F$30))+X80+X81</f>
        <v>979005.557</v>
      </c>
      <c r="Y82" s="70">
        <f t="array" ref="Y82">IF(Y$2-Inputs!$F$30&lt;1,0,INDEX($B79:$Y79,1,Y$2-Inputs!$F$30))+Y80+Y81</f>
        <v>960968.8774</v>
      </c>
      <c r="Z82" s="71">
        <f t="shared" si="50"/>
        <v>8267449.021</v>
      </c>
      <c r="AA82" s="71">
        <f t="shared" si="51"/>
        <v>10027232.74</v>
      </c>
    </row>
    <row r="83" outlineLevel="1">
      <c r="A83" s="6" t="s">
        <v>409</v>
      </c>
      <c r="B83" s="86">
        <f>IF(Inputs!$F$25=0,0,B82*Inputs!$F$24/Inputs!$F$25)</f>
        <v>8</v>
      </c>
      <c r="C83" s="86">
        <f>IF(Inputs!$F$25=0,0,C82*Inputs!$F$24/Inputs!$F$25)</f>
        <v>8</v>
      </c>
      <c r="D83" s="86">
        <f>IF(Inputs!$F$25=0,0,D82*Inputs!$F$24/Inputs!$F$25)</f>
        <v>8</v>
      </c>
      <c r="E83" s="86">
        <f>IF(Inputs!$F$25=0,0,E82*Inputs!$F$24/Inputs!$F$25)</f>
        <v>7.426542134</v>
      </c>
      <c r="F83" s="86">
        <f>IF(Inputs!$F$25=0,0,F82*Inputs!$F$24/Inputs!$F$25)</f>
        <v>7.289719457</v>
      </c>
      <c r="G83" s="86">
        <f>IF(Inputs!$F$25=0,0,G82*Inputs!$F$24/Inputs!$F$25)</f>
        <v>7.155417528</v>
      </c>
      <c r="H83" s="86">
        <f>IF(Inputs!$F$25=0,0,H82*Inputs!$F$24/Inputs!$F$25)</f>
        <v>7.023589907</v>
      </c>
      <c r="I83" s="86">
        <f>IF(Inputs!$F$25=0,0,I82*Inputs!$F$24/Inputs!$F$25)</f>
        <v>6.894191008</v>
      </c>
      <c r="J83" s="86">
        <f>IF(Inputs!$F$25=0,0,J82*Inputs!$F$24/Inputs!$F$25)</f>
        <v>6.767176086</v>
      </c>
      <c r="K83" s="86">
        <f>IF(Inputs!$F$25=0,0,K82*Inputs!$F$24/Inputs!$F$25)</f>
        <v>6.64250122</v>
      </c>
      <c r="L83" s="86">
        <f>IF(Inputs!$F$25=0,0,L82*Inputs!$F$24/Inputs!$F$25)</f>
        <v>6.520123297</v>
      </c>
      <c r="M83" s="86">
        <f>IF(Inputs!$F$25=0,0,M82*Inputs!$F$24/Inputs!$F$25)</f>
        <v>6.4</v>
      </c>
      <c r="N83" s="86">
        <f>IF(Inputs!$F$25=0,0,N82*Inputs!$F$24/Inputs!$F$25)</f>
        <v>6.282089791</v>
      </c>
      <c r="O83" s="86">
        <f>IF(Inputs!$F$25=0,0,O82*Inputs!$F$24/Inputs!$F$25)</f>
        <v>6.166351898</v>
      </c>
      <c r="P83" s="86">
        <f>IF(Inputs!$F$25=0,0,P82*Inputs!$F$24/Inputs!$F$25)</f>
        <v>6.052746298</v>
      </c>
      <c r="Q83" s="86">
        <f>IF(Inputs!$F$25=0,0,Q82*Inputs!$F$24/Inputs!$F$25)</f>
        <v>5.941233707</v>
      </c>
      <c r="R83" s="86">
        <f>IF(Inputs!$F$25=0,0,R82*Inputs!$F$24/Inputs!$F$25)</f>
        <v>7.688411099</v>
      </c>
      <c r="S83" s="86">
        <f>IF(Inputs!$F$25=0,0,S82*Inputs!$F$24/Inputs!$F$25)</f>
        <v>9.369193751</v>
      </c>
      <c r="T83" s="86">
        <f>IF(Inputs!$F$25=0,0,T82*Inputs!$F$24/Inputs!$F$25)</f>
        <v>10.98543507</v>
      </c>
      <c r="U83" s="86">
        <f>IF(Inputs!$F$25=0,0,U82*Inputs!$F$24/Inputs!$F$25)</f>
        <v>10.78304524</v>
      </c>
      <c r="V83" s="86">
        <f>IF(Inputs!$F$25=0,0,V82*Inputs!$F$24/Inputs!$F$25)</f>
        <v>10.58438412</v>
      </c>
      <c r="W83" s="86">
        <f>IF(Inputs!$F$25=0,0,W82*Inputs!$F$24/Inputs!$F$25)</f>
        <v>10.38938304</v>
      </c>
      <c r="X83" s="86">
        <f>IF(Inputs!$F$25=0,0,X82*Inputs!$F$24/Inputs!$F$25)</f>
        <v>10.19797455</v>
      </c>
      <c r="Y83" s="86">
        <f>IF(Inputs!$F$25=0,0,Y82*Inputs!$F$24/Inputs!$F$25)</f>
        <v>10.01009247</v>
      </c>
      <c r="Z83" s="87">
        <f t="shared" si="50"/>
        <v>86.11926064</v>
      </c>
      <c r="AA83" s="87">
        <f t="shared" si="51"/>
        <v>104.450341</v>
      </c>
    </row>
    <row r="84" outlineLevel="1">
      <c r="A84" s="6" t="s">
        <v>410</v>
      </c>
      <c r="B84" s="70">
        <f>B82*Inputs!$F$24</f>
        <v>192000</v>
      </c>
      <c r="C84" s="70">
        <f>C82*Inputs!$F$24</f>
        <v>192000</v>
      </c>
      <c r="D84" s="70">
        <f>D82*Inputs!$F$24</f>
        <v>192000</v>
      </c>
      <c r="E84" s="70">
        <f>E82*Inputs!$F$24</f>
        <v>178237.0112</v>
      </c>
      <c r="F84" s="70">
        <f>F82*Inputs!$F$24</f>
        <v>174953.267</v>
      </c>
      <c r="G84" s="70">
        <f>G82*Inputs!$F$24</f>
        <v>171730.0207</v>
      </c>
      <c r="H84" s="70">
        <f>H82*Inputs!$F$24</f>
        <v>168566.1578</v>
      </c>
      <c r="I84" s="70">
        <f>I82*Inputs!$F$24</f>
        <v>165460.5842</v>
      </c>
      <c r="J84" s="70">
        <f>J82*Inputs!$F$24</f>
        <v>162412.2261</v>
      </c>
      <c r="K84" s="70">
        <f>K82*Inputs!$F$24</f>
        <v>159420.0293</v>
      </c>
      <c r="L84" s="70">
        <f>L82*Inputs!$F$24</f>
        <v>156482.9591</v>
      </c>
      <c r="M84" s="70">
        <f>M82*Inputs!$F$24</f>
        <v>153600</v>
      </c>
      <c r="N84" s="70">
        <f>N82*Inputs!$F$24</f>
        <v>150770.155</v>
      </c>
      <c r="O84" s="70">
        <f>O82*Inputs!$F$24</f>
        <v>147992.4455</v>
      </c>
      <c r="P84" s="70">
        <f>P82*Inputs!$F$24</f>
        <v>145265.9111</v>
      </c>
      <c r="Q84" s="70">
        <f>Q82*Inputs!$F$24</f>
        <v>142589.609</v>
      </c>
      <c r="R84" s="70">
        <f>R82*Inputs!$F$24</f>
        <v>184521.8664</v>
      </c>
      <c r="S84" s="70">
        <f>S82*Inputs!$F$24</f>
        <v>224860.65</v>
      </c>
      <c r="T84" s="70">
        <f>T82*Inputs!$F$24</f>
        <v>263650.4417</v>
      </c>
      <c r="U84" s="70">
        <f>U82*Inputs!$F$24</f>
        <v>258793.0857</v>
      </c>
      <c r="V84" s="70">
        <f>V82*Inputs!$F$24</f>
        <v>254025.219</v>
      </c>
      <c r="W84" s="70">
        <f>W82*Inputs!$F$24</f>
        <v>249345.193</v>
      </c>
      <c r="X84" s="70">
        <f>X82*Inputs!$F$24</f>
        <v>244751.3893</v>
      </c>
      <c r="Y84" s="70">
        <f>Y82*Inputs!$F$24</f>
        <v>240242.2193</v>
      </c>
      <c r="Z84" s="71">
        <f t="shared" si="50"/>
        <v>2066862.255</v>
      </c>
      <c r="AA84" s="71">
        <f t="shared" si="51"/>
        <v>2506808.185</v>
      </c>
    </row>
    <row r="85" outlineLevel="1">
      <c r="A85" s="38" t="s">
        <v>411</v>
      </c>
      <c r="B85" s="77">
        <f>Capacity!B40</f>
        <v>188462.6937</v>
      </c>
      <c r="C85" s="77">
        <f>Capacity!C40</f>
        <v>184990.5569</v>
      </c>
      <c r="D85" s="77">
        <f>Capacity!D40</f>
        <v>181582.3889</v>
      </c>
      <c r="E85" s="77">
        <f>Capacity!E40</f>
        <v>178237.0112</v>
      </c>
      <c r="F85" s="77">
        <f>Capacity!F40</f>
        <v>174953.267</v>
      </c>
      <c r="G85" s="77">
        <f>Capacity!G40</f>
        <v>171730.0207</v>
      </c>
      <c r="H85" s="77">
        <f>Capacity!H40</f>
        <v>168566.1578</v>
      </c>
      <c r="I85" s="77">
        <f>Capacity!I40</f>
        <v>165460.5842</v>
      </c>
      <c r="J85" s="77">
        <f>Capacity!J40</f>
        <v>162412.2261</v>
      </c>
      <c r="K85" s="77">
        <f>Capacity!K40</f>
        <v>159420.0293</v>
      </c>
      <c r="L85" s="77">
        <f>Capacity!L40</f>
        <v>156482.9591</v>
      </c>
      <c r="M85" s="77">
        <f>Capacity!M40</f>
        <v>153600</v>
      </c>
      <c r="N85" s="77">
        <f>Capacity!N40</f>
        <v>150770.155</v>
      </c>
      <c r="O85" s="77">
        <f>Capacity!O40</f>
        <v>147992.4455</v>
      </c>
      <c r="P85" s="77">
        <f>Capacity!P40</f>
        <v>145265.9111</v>
      </c>
      <c r="Q85" s="77">
        <f>Capacity!Q40</f>
        <v>142589.609</v>
      </c>
      <c r="R85" s="77">
        <f>Capacity!R40</f>
        <v>184521.8664</v>
      </c>
      <c r="S85" s="77">
        <f>Capacity!S40</f>
        <v>224860.65</v>
      </c>
      <c r="T85" s="77">
        <f>Capacity!T40</f>
        <v>263650.4417</v>
      </c>
      <c r="U85" s="77">
        <f>Capacity!U40</f>
        <v>258793.0857</v>
      </c>
      <c r="V85" s="77">
        <f>Capacity!V40</f>
        <v>254025.219</v>
      </c>
      <c r="W85" s="77">
        <f>Capacity!W40</f>
        <v>249345.193</v>
      </c>
      <c r="X85" s="77">
        <f>Capacity!X40</f>
        <v>244751.3893</v>
      </c>
      <c r="Y85" s="77">
        <f>Capacity!Y40</f>
        <v>240242.2193</v>
      </c>
      <c r="Z85" s="78">
        <f t="shared" si="50"/>
        <v>2045897.895</v>
      </c>
      <c r="AA85" s="78">
        <f t="shared" si="51"/>
        <v>2506808.185</v>
      </c>
    </row>
    <row r="86" outlineLevel="1">
      <c r="A86" s="6" t="s">
        <v>412</v>
      </c>
      <c r="B86" s="86">
        <f>IF(Inputs!$F$25=0,0,(B85-Capacity!B41)/Inputs!$F$25)</f>
        <v>7.852612239</v>
      </c>
      <c r="C86" s="86">
        <f>IF(Inputs!$F$25=0,0,(C85-Capacity!C41)/Inputs!$F$25)</f>
        <v>7.707939872</v>
      </c>
      <c r="D86" s="86">
        <f>IF(Inputs!$F$25=0,0,(D85-Capacity!D41)/Inputs!$F$25)</f>
        <v>7.565932872</v>
      </c>
      <c r="E86" s="86">
        <f>IF(Inputs!$F$25=0,0,(E85-Capacity!E41)/Inputs!$F$25)</f>
        <v>7.426542134</v>
      </c>
      <c r="F86" s="86">
        <f>IF(Inputs!$F$25=0,0,(F85-Capacity!F41)/Inputs!$F$25)</f>
        <v>7.289719457</v>
      </c>
      <c r="G86" s="86">
        <f>IF(Inputs!$F$25=0,0,(G85-Capacity!G41)/Inputs!$F$25)</f>
        <v>7.155417528</v>
      </c>
      <c r="H86" s="86">
        <f>IF(Inputs!$F$25=0,0,(H85-Capacity!H41)/Inputs!$F$25)</f>
        <v>7.023589907</v>
      </c>
      <c r="I86" s="86">
        <f>IF(Inputs!$F$25=0,0,(I85-Capacity!I41)/Inputs!$F$25)</f>
        <v>6.894191008</v>
      </c>
      <c r="J86" s="86">
        <f>IF(Inputs!$F$25=0,0,(J85-Capacity!J41)/Inputs!$F$25)</f>
        <v>6.767176086</v>
      </c>
      <c r="K86" s="86">
        <f>IF(Inputs!$F$25=0,0,(K85-Capacity!K41)/Inputs!$F$25)</f>
        <v>6.64250122</v>
      </c>
      <c r="L86" s="86">
        <f>IF(Inputs!$F$25=0,0,(L85-Capacity!L41)/Inputs!$F$25)</f>
        <v>6.520123297</v>
      </c>
      <c r="M86" s="86">
        <f>IF(Inputs!$F$25=0,0,(M85-Capacity!M41)/Inputs!$F$25)</f>
        <v>6.4</v>
      </c>
      <c r="N86" s="86">
        <f>IF(Inputs!$F$25=0,0,(N85-Capacity!N41)/Inputs!$F$25)</f>
        <v>6.282089791</v>
      </c>
      <c r="O86" s="86">
        <f>IF(Inputs!$F$25=0,0,(O85-Capacity!O41)/Inputs!$F$25)</f>
        <v>6.166351898</v>
      </c>
      <c r="P86" s="86">
        <f>IF(Inputs!$F$25=0,0,(P85-Capacity!P41)/Inputs!$F$25)</f>
        <v>6.052746298</v>
      </c>
      <c r="Q86" s="86">
        <f>IF(Inputs!$F$25=0,0,(Q85-Capacity!Q41)/Inputs!$F$25)</f>
        <v>5.941233707</v>
      </c>
      <c r="R86" s="86">
        <f>IF(Inputs!$F$25=0,0,(R85-Capacity!R41)/Inputs!$F$25)</f>
        <v>7.688411099</v>
      </c>
      <c r="S86" s="86">
        <f>IF(Inputs!$F$25=0,0,(S85-Capacity!S41)/Inputs!$F$25)</f>
        <v>9.369193751</v>
      </c>
      <c r="T86" s="86">
        <f>IF(Inputs!$F$25=0,0,(T85-Capacity!T41)/Inputs!$F$25)</f>
        <v>10.98543507</v>
      </c>
      <c r="U86" s="86">
        <f>IF(Inputs!$F$25=0,0,(U85-Capacity!U41)/Inputs!$F$25)</f>
        <v>10.78304524</v>
      </c>
      <c r="V86" s="86">
        <f>IF(Inputs!$F$25=0,0,(V85-Capacity!V41)/Inputs!$F$25)</f>
        <v>10.58438412</v>
      </c>
      <c r="W86" s="86">
        <f>IF(Inputs!$F$25=0,0,(W85-Capacity!W41)/Inputs!$F$25)</f>
        <v>10.38938304</v>
      </c>
      <c r="X86" s="86">
        <f>IF(Inputs!$F$25=0,0,(X85-Capacity!X41)/Inputs!$F$25)</f>
        <v>10.19797455</v>
      </c>
      <c r="Y86" s="86">
        <f>IF(Inputs!$F$25=0,0,(Y85-Capacity!Y41)/Inputs!$F$25)</f>
        <v>10.01009247</v>
      </c>
      <c r="Z86" s="87">
        <f t="shared" si="50"/>
        <v>85.24574562</v>
      </c>
      <c r="AA86" s="87">
        <f t="shared" si="51"/>
        <v>104.450341</v>
      </c>
    </row>
    <row r="87" outlineLevel="1">
      <c r="A87" s="6" t="s">
        <v>413</v>
      </c>
      <c r="B87" s="86">
        <f>IF(Inputs!$F$24=0,0,B86/Inputs!$F$24)</f>
        <v>31.41044896</v>
      </c>
      <c r="C87" s="86">
        <f>IF(Inputs!$F$24=0,0,C86/Inputs!$F$24)</f>
        <v>30.83175949</v>
      </c>
      <c r="D87" s="86">
        <f>IF(Inputs!$F$24=0,0,D86/Inputs!$F$24)</f>
        <v>30.26373149</v>
      </c>
      <c r="E87" s="86">
        <f>IF(Inputs!$F$24=0,0,E86/Inputs!$F$24)</f>
        <v>29.70616854</v>
      </c>
      <c r="F87" s="86">
        <f>IF(Inputs!$F$24=0,0,F86/Inputs!$F$24)</f>
        <v>29.15887783</v>
      </c>
      <c r="G87" s="86">
        <f>IF(Inputs!$F$24=0,0,G86/Inputs!$F$24)</f>
        <v>28.62167011</v>
      </c>
      <c r="H87" s="86">
        <f>IF(Inputs!$F$24=0,0,H86/Inputs!$F$24)</f>
        <v>28.09435963</v>
      </c>
      <c r="I87" s="86">
        <f>IF(Inputs!$F$24=0,0,I86/Inputs!$F$24)</f>
        <v>27.57676403</v>
      </c>
      <c r="J87" s="86">
        <f>IF(Inputs!$F$24=0,0,J86/Inputs!$F$24)</f>
        <v>27.06870434</v>
      </c>
      <c r="K87" s="86">
        <f>IF(Inputs!$F$24=0,0,K86/Inputs!$F$24)</f>
        <v>26.57000488</v>
      </c>
      <c r="L87" s="86">
        <f>IF(Inputs!$F$24=0,0,L86/Inputs!$F$24)</f>
        <v>26.08049319</v>
      </c>
      <c r="M87" s="86">
        <f>IF(Inputs!$F$24=0,0,M86/Inputs!$F$24)</f>
        <v>25.6</v>
      </c>
      <c r="N87" s="86">
        <f>IF(Inputs!$F$24=0,0,N86/Inputs!$F$24)</f>
        <v>25.12835916</v>
      </c>
      <c r="O87" s="86">
        <f>IF(Inputs!$F$24=0,0,O86/Inputs!$F$24)</f>
        <v>24.66540759</v>
      </c>
      <c r="P87" s="86">
        <f>IF(Inputs!$F$24=0,0,P86/Inputs!$F$24)</f>
        <v>24.21098519</v>
      </c>
      <c r="Q87" s="86">
        <f>IF(Inputs!$F$24=0,0,Q86/Inputs!$F$24)</f>
        <v>23.76493483</v>
      </c>
      <c r="R87" s="86">
        <f>IF(Inputs!$F$24=0,0,R86/Inputs!$F$24)</f>
        <v>30.7536444</v>
      </c>
      <c r="S87" s="86">
        <f>IF(Inputs!$F$24=0,0,S86/Inputs!$F$24)</f>
        <v>37.476775</v>
      </c>
      <c r="T87" s="86">
        <f>IF(Inputs!$F$24=0,0,T86/Inputs!$F$24)</f>
        <v>43.94174029</v>
      </c>
      <c r="U87" s="86">
        <f>IF(Inputs!$F$24=0,0,U86/Inputs!$F$24)</f>
        <v>43.13218095</v>
      </c>
      <c r="V87" s="86">
        <f>IF(Inputs!$F$24=0,0,V86/Inputs!$F$24)</f>
        <v>42.3375365</v>
      </c>
      <c r="W87" s="86">
        <f>IF(Inputs!$F$24=0,0,W86/Inputs!$F$24)</f>
        <v>41.55753216</v>
      </c>
      <c r="X87" s="86">
        <f>IF(Inputs!$F$24=0,0,X86/Inputs!$F$24)</f>
        <v>40.79189821</v>
      </c>
      <c r="Y87" s="86">
        <f>IF(Inputs!$F$24=0,0,Y86/Inputs!$F$24)</f>
        <v>40.04036989</v>
      </c>
      <c r="Z87" s="87">
        <f t="shared" si="50"/>
        <v>340.9829825</v>
      </c>
      <c r="AA87" s="87">
        <f t="shared" si="51"/>
        <v>417.8013642</v>
      </c>
    </row>
    <row r="88" outlineLevel="1">
      <c r="A88" s="12" t="s">
        <v>414</v>
      </c>
      <c r="B88" s="87">
        <f t="array" ref="B88">IF(B$2+Inputs!$F$30&gt;24,"",INDEX($B87:$Y87,1,B$2+Inputs!$F$30))</f>
        <v>29.70616854</v>
      </c>
      <c r="C88" s="87">
        <f t="array" ref="C88">IF(C$2+Inputs!$F$30&gt;24,"",INDEX($B87:$Y87,1,C$2+Inputs!$F$30))</f>
        <v>29.15887783</v>
      </c>
      <c r="D88" s="87">
        <f t="array" ref="D88">IF(D$2+Inputs!$F$30&gt;24,"",INDEX($B87:$Y87,1,D$2+Inputs!$F$30))</f>
        <v>28.62167011</v>
      </c>
      <c r="E88" s="87">
        <f t="array" ref="E88">IF(E$2+Inputs!$F$30&gt;24,"",INDEX($B87:$Y87,1,E$2+Inputs!$F$30))</f>
        <v>28.09435963</v>
      </c>
      <c r="F88" s="87">
        <f t="array" ref="F88">IF(F$2+Inputs!$F$30&gt;24,"",INDEX($B87:$Y87,1,F$2+Inputs!$F$30))</f>
        <v>27.57676403</v>
      </c>
      <c r="G88" s="87">
        <f t="array" ref="G88">IF(G$2+Inputs!$F$30&gt;24,"",INDEX($B87:$Y87,1,G$2+Inputs!$F$30))</f>
        <v>27.06870434</v>
      </c>
      <c r="H88" s="87">
        <f t="array" ref="H88">IF(H$2+Inputs!$F$30&gt;24,"",INDEX($B87:$Y87,1,H$2+Inputs!$F$30))</f>
        <v>26.57000488</v>
      </c>
      <c r="I88" s="87">
        <f t="array" ref="I88">IF(I$2+Inputs!$F$30&gt;24,"",INDEX($B87:$Y87,1,I$2+Inputs!$F$30))</f>
        <v>26.08049319</v>
      </c>
      <c r="J88" s="87">
        <f t="array" ref="J88">IF(J$2+Inputs!$F$30&gt;24,"",INDEX($B87:$Y87,1,J$2+Inputs!$F$30))</f>
        <v>25.6</v>
      </c>
      <c r="K88" s="87">
        <f t="array" ref="K88">IF(K$2+Inputs!$F$30&gt;24,"",INDEX($B87:$Y87,1,K$2+Inputs!$F$30))</f>
        <v>25.12835916</v>
      </c>
      <c r="L88" s="87">
        <f t="array" ref="L88">IF(L$2+Inputs!$F$30&gt;24,"",INDEX($B87:$Y87,1,L$2+Inputs!$F$30))</f>
        <v>24.66540759</v>
      </c>
      <c r="M88" s="87">
        <f t="array" ref="M88">IF(M$2+Inputs!$F$30&gt;24,"",INDEX($B87:$Y87,1,M$2+Inputs!$F$30))</f>
        <v>24.21098519</v>
      </c>
      <c r="N88" s="87">
        <f t="array" ref="N88">IF(N$2+Inputs!$F$30&gt;24,"",INDEX($B87:$Y87,1,N$2+Inputs!$F$30))</f>
        <v>23.76493483</v>
      </c>
      <c r="O88" s="87">
        <f t="array" ref="O88">IF(O$2+Inputs!$F$30&gt;24,"",INDEX($B87:$Y87,1,O$2+Inputs!$F$30))</f>
        <v>30.7536444</v>
      </c>
      <c r="P88" s="87">
        <f t="array" ref="P88">IF(P$2+Inputs!$F$30&gt;24,"",INDEX($B87:$Y87,1,P$2+Inputs!$F$30))</f>
        <v>37.476775</v>
      </c>
      <c r="Q88" s="87">
        <f t="array" ref="Q88">IF(Q$2+Inputs!$F$30&gt;24,"",INDEX($B87:$Y87,1,Q$2+Inputs!$F$30))</f>
        <v>43.94174029</v>
      </c>
      <c r="R88" s="87">
        <f t="array" ref="R88">IF(R$2+Inputs!$F$30&gt;24,"",INDEX($B87:$Y87,1,R$2+Inputs!$F$30))</f>
        <v>43.13218095</v>
      </c>
      <c r="S88" s="87">
        <f t="array" ref="S88">IF(S$2+Inputs!$F$30&gt;24,"",INDEX($B87:$Y87,1,S$2+Inputs!$F$30))</f>
        <v>42.3375365</v>
      </c>
      <c r="T88" s="87">
        <f t="array" ref="T88">IF(T$2+Inputs!$F$30&gt;24,"",INDEX($B87:$Y87,1,T$2+Inputs!$F$30))</f>
        <v>41.55753216</v>
      </c>
      <c r="U88" s="87">
        <f t="array" ref="U88">IF(U$2+Inputs!$F$30&gt;24,"",INDEX($B87:$Y87,1,U$2+Inputs!$F$30))</f>
        <v>40.79189821</v>
      </c>
      <c r="V88" s="87">
        <f t="array" ref="V88">IF(V$2+Inputs!$F$30&gt;24,"",INDEX($B87:$Y87,1,V$2+Inputs!$F$30))</f>
        <v>40.04036989</v>
      </c>
      <c r="W88" s="87" t="str">
        <f t="array" ref="W88">IF(W$2+Inputs!$F$30&gt;24,"",INDEX($B87:$Y87,1,W$2+Inputs!$F$30))</f>
        <v/>
      </c>
      <c r="X88" s="87" t="str">
        <f t="array" ref="X88">IF(X$2+Inputs!$F$30&gt;24,"",INDEX($B87:$Y87,1,X$2+Inputs!$F$30))</f>
        <v/>
      </c>
      <c r="Y88" s="87" t="str">
        <f t="array" ref="Y88">IF(Y$2+Inputs!$F$30&gt;24,"",INDEX($B87:$Y87,1,Y$2+Inputs!$F$30))</f>
        <v/>
      </c>
      <c r="Z88" s="87">
        <f t="shared" si="50"/>
        <v>322.4817945</v>
      </c>
      <c r="AA88" s="87">
        <f t="shared" si="51"/>
        <v>343.7966122</v>
      </c>
    </row>
    <row r="89" outlineLevel="1">
      <c r="A89" s="6" t="s">
        <v>415</v>
      </c>
      <c r="B89" s="70">
        <f>IF(B88="","",B88*Inputs!$F$25)</f>
        <v>712948.0448</v>
      </c>
      <c r="C89" s="70">
        <f>IF(C88="","",C88*Inputs!$F$25)</f>
        <v>699813.0678</v>
      </c>
      <c r="D89" s="70">
        <f>IF(D88="","",D88*Inputs!$F$25)</f>
        <v>686920.0827</v>
      </c>
      <c r="E89" s="70">
        <f>IF(E88="","",E88*Inputs!$F$25)</f>
        <v>674264.6311</v>
      </c>
      <c r="F89" s="70">
        <f>IF(F88="","",F88*Inputs!$F$25)</f>
        <v>661842.3368</v>
      </c>
      <c r="G89" s="70">
        <f>IF(G88="","",G88*Inputs!$F$25)</f>
        <v>649648.9043</v>
      </c>
      <c r="H89" s="70">
        <f>IF(H88="","",H88*Inputs!$F$25)</f>
        <v>637680.1171</v>
      </c>
      <c r="I89" s="70">
        <f>IF(I88="","",I88*Inputs!$F$25)</f>
        <v>625931.8365</v>
      </c>
      <c r="J89" s="70">
        <f>IF(J88="","",J88*Inputs!$F$25)</f>
        <v>614400</v>
      </c>
      <c r="K89" s="70">
        <f>IF(K88="","",K88*Inputs!$F$25)</f>
        <v>603080.62</v>
      </c>
      <c r="L89" s="70">
        <f>IF(L88="","",L88*Inputs!$F$25)</f>
        <v>591969.7822</v>
      </c>
      <c r="M89" s="70">
        <f>IF(M88="","",M88*Inputs!$F$25)</f>
        <v>581063.6446</v>
      </c>
      <c r="N89" s="70">
        <f>IF(N88="","",N88*Inputs!$F$25)</f>
        <v>570358.4359</v>
      </c>
      <c r="O89" s="70">
        <f>IF(O88="","",O88*Inputs!$F$25)</f>
        <v>738087.4655</v>
      </c>
      <c r="P89" s="70">
        <f>IF(P88="","",P88*Inputs!$F$25)</f>
        <v>899442.6001</v>
      </c>
      <c r="Q89" s="70">
        <f>IF(Q88="","",Q88*Inputs!$F$25)</f>
        <v>1054601.767</v>
      </c>
      <c r="R89" s="70">
        <f>IF(R88="","",R88*Inputs!$F$25)</f>
        <v>1035172.343</v>
      </c>
      <c r="S89" s="70">
        <f>IF(S88="","",S88*Inputs!$F$25)</f>
        <v>1016100.876</v>
      </c>
      <c r="T89" s="70">
        <f>IF(T88="","",T88*Inputs!$F$25)</f>
        <v>997380.7719</v>
      </c>
      <c r="U89" s="70">
        <f>IF(U88="","",U88*Inputs!$F$25)</f>
        <v>979005.557</v>
      </c>
      <c r="V89" s="70">
        <f>IF(V88="","",V88*Inputs!$F$25)</f>
        <v>960968.8774</v>
      </c>
      <c r="W89" s="70" t="str">
        <f>IF(W88="","",W88*Inputs!$F$25)</f>
        <v/>
      </c>
      <c r="X89" s="70" t="str">
        <f>IF(X88="","",X88*Inputs!$F$25)</f>
        <v/>
      </c>
      <c r="Y89" s="70" t="str">
        <f>IF(Y88="","",Y88*Inputs!$F$25)</f>
        <v/>
      </c>
      <c r="Z89" s="71">
        <f t="shared" si="50"/>
        <v>7739563.068</v>
      </c>
      <c r="AA89" s="71">
        <f t="shared" si="51"/>
        <v>8251118.693</v>
      </c>
    </row>
    <row r="90" outlineLevel="1">
      <c r="A90" s="6" t="s">
        <v>416</v>
      </c>
      <c r="B90" s="86">
        <f>IF(OR(B88="",Inputs!$F$38*Inputs!$F$39=0),"",B88/(Inputs!$F$38*Inputs!$F$39))</f>
        <v>475.2986966</v>
      </c>
      <c r="C90" s="86">
        <f>IF(OR(C88="",Inputs!$F$38*Inputs!$F$39=0),"",C88/(Inputs!$F$38*Inputs!$F$39))</f>
        <v>466.5420452</v>
      </c>
      <c r="D90" s="86">
        <f>IF(OR(D88="",Inputs!$F$38*Inputs!$F$39=0),"",D88/(Inputs!$F$38*Inputs!$F$39))</f>
        <v>457.9467218</v>
      </c>
      <c r="E90" s="86">
        <f>IF(OR(E88="",Inputs!$F$38*Inputs!$F$39=0),"",E88/(Inputs!$F$38*Inputs!$F$39))</f>
        <v>449.509754</v>
      </c>
      <c r="F90" s="86">
        <f>IF(OR(F88="",Inputs!$F$38*Inputs!$F$39=0),"",F88/(Inputs!$F$38*Inputs!$F$39))</f>
        <v>441.2282245</v>
      </c>
      <c r="G90" s="86">
        <f>IF(OR(G88="",Inputs!$F$38*Inputs!$F$39=0),"",G88/(Inputs!$F$38*Inputs!$F$39))</f>
        <v>433.0992695</v>
      </c>
      <c r="H90" s="86">
        <f>IF(OR(H88="",Inputs!$F$38*Inputs!$F$39=0),"",H88/(Inputs!$F$38*Inputs!$F$39))</f>
        <v>425.1200781</v>
      </c>
      <c r="I90" s="86">
        <f>IF(OR(I88="",Inputs!$F$38*Inputs!$F$39=0),"",I88/(Inputs!$F$38*Inputs!$F$39))</f>
        <v>417.287891</v>
      </c>
      <c r="J90" s="86">
        <f>IF(OR(J88="",Inputs!$F$38*Inputs!$F$39=0),"",J88/(Inputs!$F$38*Inputs!$F$39))</f>
        <v>409.6</v>
      </c>
      <c r="K90" s="86">
        <f>IF(OR(K88="",Inputs!$F$38*Inputs!$F$39=0),"",K88/(Inputs!$F$38*Inputs!$F$39))</f>
        <v>402.0537466</v>
      </c>
      <c r="L90" s="86">
        <f>IF(OR(L88="",Inputs!$F$38*Inputs!$F$39=0),"",L88/(Inputs!$F$38*Inputs!$F$39))</f>
        <v>394.6465214</v>
      </c>
      <c r="M90" s="86">
        <f>IF(OR(M88="",Inputs!$F$38*Inputs!$F$39=0),"",M88/(Inputs!$F$38*Inputs!$F$39))</f>
        <v>387.375763</v>
      </c>
      <c r="N90" s="86">
        <f>IF(OR(N88="",Inputs!$F$38*Inputs!$F$39=0),"",N88/(Inputs!$F$38*Inputs!$F$39))</f>
        <v>380.2389572</v>
      </c>
      <c r="O90" s="86">
        <f>IF(OR(O88="",Inputs!$F$38*Inputs!$F$39=0),"",O88/(Inputs!$F$38*Inputs!$F$39))</f>
        <v>492.0583103</v>
      </c>
      <c r="P90" s="86">
        <f>IF(OR(P88="",Inputs!$F$38*Inputs!$F$39=0),"",P88/(Inputs!$F$38*Inputs!$F$39))</f>
        <v>599.6284</v>
      </c>
      <c r="Q90" s="86">
        <f>IF(OR(Q88="",Inputs!$F$38*Inputs!$F$39=0),"",Q88/(Inputs!$F$38*Inputs!$F$39))</f>
        <v>703.0678446</v>
      </c>
      <c r="R90" s="86">
        <f>IF(OR(R88="",Inputs!$F$38*Inputs!$F$39=0),"",R88/(Inputs!$F$38*Inputs!$F$39))</f>
        <v>690.1148951</v>
      </c>
      <c r="S90" s="86">
        <f>IF(OR(S88="",Inputs!$F$38*Inputs!$F$39=0),"",S88/(Inputs!$F$38*Inputs!$F$39))</f>
        <v>677.400584</v>
      </c>
      <c r="T90" s="86">
        <f>IF(OR(T88="",Inputs!$F$38*Inputs!$F$39=0),"",T88/(Inputs!$F$38*Inputs!$F$39))</f>
        <v>664.9205146</v>
      </c>
      <c r="U90" s="86">
        <f>IF(OR(U88="",Inputs!$F$38*Inputs!$F$39=0),"",U88/(Inputs!$F$38*Inputs!$F$39))</f>
        <v>652.6703713</v>
      </c>
      <c r="V90" s="86">
        <f>IF(OR(V88="",Inputs!$F$38*Inputs!$F$39=0),"",V88/(Inputs!$F$38*Inputs!$F$39))</f>
        <v>640.6459182</v>
      </c>
      <c r="W90" s="86" t="str">
        <f>IF(OR(W88="",Inputs!$F$38*Inputs!$F$39=0),"",W88/(Inputs!$F$38*Inputs!$F$39))</f>
        <v/>
      </c>
      <c r="X90" s="86" t="str">
        <f>IF(OR(X88="",Inputs!$F$38*Inputs!$F$39=0),"",X88/(Inputs!$F$38*Inputs!$F$39))</f>
        <v/>
      </c>
      <c r="Y90" s="86" t="str">
        <f>IF(OR(Y88="",Inputs!$F$38*Inputs!$F$39=0),"",Y88/(Inputs!$F$38*Inputs!$F$39))</f>
        <v/>
      </c>
      <c r="Z90" s="87">
        <f t="shared" si="50"/>
        <v>5159.708712</v>
      </c>
      <c r="AA90" s="87">
        <f t="shared" si="51"/>
        <v>5500.745795</v>
      </c>
    </row>
    <row r="91" outlineLevel="1">
      <c r="A91" s="38" t="s">
        <v>417</v>
      </c>
      <c r="B91" s="89">
        <f t="shared" ref="B91:Y91" si="52">IF(B85=0,"",B82/B85)</f>
        <v>4.07507706</v>
      </c>
      <c r="C91" s="89">
        <f t="shared" si="52"/>
        <v>4.151563262</v>
      </c>
      <c r="D91" s="89">
        <f t="shared" si="52"/>
        <v>4.229485054</v>
      </c>
      <c r="E91" s="89">
        <f t="shared" si="52"/>
        <v>4</v>
      </c>
      <c r="F91" s="89">
        <f t="shared" si="52"/>
        <v>4</v>
      </c>
      <c r="G91" s="89">
        <f t="shared" si="52"/>
        <v>4</v>
      </c>
      <c r="H91" s="89">
        <f t="shared" si="52"/>
        <v>4</v>
      </c>
      <c r="I91" s="89">
        <f t="shared" si="52"/>
        <v>4</v>
      </c>
      <c r="J91" s="89">
        <f t="shared" si="52"/>
        <v>4</v>
      </c>
      <c r="K91" s="89">
        <f t="shared" si="52"/>
        <v>4</v>
      </c>
      <c r="L91" s="89">
        <f t="shared" si="52"/>
        <v>4</v>
      </c>
      <c r="M91" s="89">
        <f t="shared" si="52"/>
        <v>4</v>
      </c>
      <c r="N91" s="89">
        <f t="shared" si="52"/>
        <v>4</v>
      </c>
      <c r="O91" s="89">
        <f t="shared" si="52"/>
        <v>4</v>
      </c>
      <c r="P91" s="89">
        <f t="shared" si="52"/>
        <v>4</v>
      </c>
      <c r="Q91" s="89">
        <f t="shared" si="52"/>
        <v>4</v>
      </c>
      <c r="R91" s="89">
        <f t="shared" si="52"/>
        <v>4</v>
      </c>
      <c r="S91" s="89">
        <f t="shared" si="52"/>
        <v>4</v>
      </c>
      <c r="T91" s="89">
        <f t="shared" si="52"/>
        <v>4</v>
      </c>
      <c r="U91" s="89">
        <f t="shared" si="52"/>
        <v>4</v>
      </c>
      <c r="V91" s="89">
        <f t="shared" si="52"/>
        <v>4</v>
      </c>
      <c r="W91" s="89">
        <f t="shared" si="52"/>
        <v>4</v>
      </c>
      <c r="X91" s="89">
        <f t="shared" si="52"/>
        <v>4</v>
      </c>
      <c r="Y91" s="89">
        <f t="shared" si="52"/>
        <v>4</v>
      </c>
      <c r="Z91" s="90">
        <f>IF(SUM(B85:M85)=0,"",SUM(B82:M82)/SUM(B85:M85))</f>
        <v>4.040988087</v>
      </c>
      <c r="AA91" s="90">
        <f>IF(SUM(N85:Y85)=0,"",SUM(N82:Y82)/SUM(N85:Y85))</f>
        <v>4</v>
      </c>
    </row>
    <row r="92" outlineLevel="1">
      <c r="A92" s="6" t="s">
        <v>392</v>
      </c>
      <c r="B92" s="85">
        <f t="shared" ref="B92:Y92" si="53">IF(B85=0,"",B84/B85)</f>
        <v>1.018769265</v>
      </c>
      <c r="C92" s="85">
        <f t="shared" si="53"/>
        <v>1.037890816</v>
      </c>
      <c r="D92" s="85">
        <f t="shared" si="53"/>
        <v>1.057371263</v>
      </c>
      <c r="E92" s="85">
        <f t="shared" si="53"/>
        <v>1</v>
      </c>
      <c r="F92" s="85">
        <f t="shared" si="53"/>
        <v>1</v>
      </c>
      <c r="G92" s="85">
        <f t="shared" si="53"/>
        <v>1</v>
      </c>
      <c r="H92" s="85">
        <f t="shared" si="53"/>
        <v>1</v>
      </c>
      <c r="I92" s="85">
        <f t="shared" si="53"/>
        <v>1</v>
      </c>
      <c r="J92" s="85">
        <f t="shared" si="53"/>
        <v>1</v>
      </c>
      <c r="K92" s="85">
        <f t="shared" si="53"/>
        <v>1</v>
      </c>
      <c r="L92" s="85">
        <f t="shared" si="53"/>
        <v>1</v>
      </c>
      <c r="M92" s="85">
        <f t="shared" si="53"/>
        <v>1</v>
      </c>
      <c r="N92" s="85">
        <f t="shared" si="53"/>
        <v>1</v>
      </c>
      <c r="O92" s="85">
        <f t="shared" si="53"/>
        <v>1</v>
      </c>
      <c r="P92" s="85">
        <f t="shared" si="53"/>
        <v>1</v>
      </c>
      <c r="Q92" s="85">
        <f t="shared" si="53"/>
        <v>1</v>
      </c>
      <c r="R92" s="85">
        <f t="shared" si="53"/>
        <v>1</v>
      </c>
      <c r="S92" s="85">
        <f t="shared" si="53"/>
        <v>1</v>
      </c>
      <c r="T92" s="85">
        <f t="shared" si="53"/>
        <v>1</v>
      </c>
      <c r="U92" s="85">
        <f t="shared" si="53"/>
        <v>1</v>
      </c>
      <c r="V92" s="85">
        <f t="shared" si="53"/>
        <v>1</v>
      </c>
      <c r="W92" s="85">
        <f t="shared" si="53"/>
        <v>1</v>
      </c>
      <c r="X92" s="85">
        <f t="shared" si="53"/>
        <v>1</v>
      </c>
      <c r="Y92" s="85">
        <f t="shared" si="53"/>
        <v>1</v>
      </c>
      <c r="Z92" s="84">
        <f>IF(SUM(B85:M85)=0,"",SUM(B84:M84)/SUM(B85:M85))</f>
        <v>1.010247022</v>
      </c>
      <c r="AA92" s="84">
        <f>IF(SUM(N85:Y85)=0,"",SUM(N84:Y84)/SUM(N85:Y85))</f>
        <v>1</v>
      </c>
    </row>
    <row r="93" outlineLevel="1">
      <c r="A93" s="6" t="s">
        <v>418</v>
      </c>
      <c r="B93" s="86">
        <f>IF(Capacity!B48=0,"",B74/Capacity!B48)</f>
        <v>7.565932872</v>
      </c>
      <c r="C93" s="86">
        <f>IF(Capacity!C48=0,"",C74/Capacity!C48)</f>
        <v>7.565932872</v>
      </c>
      <c r="D93" s="86">
        <f>IF(Capacity!D48=0,"",D74/Capacity!D48)</f>
        <v>7.565932872</v>
      </c>
      <c r="E93" s="86">
        <f>IF(Capacity!E48=0,"",E74/Capacity!E48)</f>
        <v>7.565932872</v>
      </c>
      <c r="F93" s="86">
        <f>IF(Capacity!F48=0,"",F74/Capacity!F48)</f>
        <v>7.565932872</v>
      </c>
      <c r="G93" s="86">
        <f>IF(Capacity!G48=0,"",G74/Capacity!G48)</f>
        <v>7.565932872</v>
      </c>
      <c r="H93" s="86">
        <f>IF(Capacity!H48=0,"",H74/Capacity!H48)</f>
        <v>7.565932872</v>
      </c>
      <c r="I93" s="86">
        <f>IF(Capacity!I48=0,"",I74/Capacity!I48)</f>
        <v>7.565932872</v>
      </c>
      <c r="J93" s="86">
        <f>IF(Capacity!J48=0,"",J74/Capacity!J48)</f>
        <v>7.565932872</v>
      </c>
      <c r="K93" s="86">
        <f>IF(Capacity!K48=0,"",K74/Capacity!K48)</f>
        <v>7.565932872</v>
      </c>
      <c r="L93" s="86">
        <f>IF(Capacity!L48=0,"",L74/Capacity!L48)</f>
        <v>7.565932872</v>
      </c>
      <c r="M93" s="86">
        <f>IF(Capacity!M48=0,"",M74/Capacity!M48)</f>
        <v>7.565932872</v>
      </c>
      <c r="N93" s="86">
        <f>IF(Capacity!N48=0,"",N74/Capacity!N48)</f>
        <v>7.565932872</v>
      </c>
      <c r="O93" s="86">
        <f>IF(Capacity!O48=0,"",O74/Capacity!O48)</f>
        <v>7.565932872</v>
      </c>
      <c r="P93" s="86">
        <f>IF(Capacity!P48=0,"",P74/Capacity!P48)</f>
        <v>7.565932872</v>
      </c>
      <c r="Q93" s="86">
        <f>IF(Capacity!Q48=0,"",Q74/Capacity!Q48)</f>
        <v>7.565932872</v>
      </c>
      <c r="R93" s="86">
        <f>IF(Capacity!R48=0,"",R74/Capacity!R48)</f>
        <v>7.565932872</v>
      </c>
      <c r="S93" s="86">
        <f>IF(Capacity!S48=0,"",S74/Capacity!S48)</f>
        <v>7.565932872</v>
      </c>
      <c r="T93" s="86">
        <f>IF(Capacity!T48=0,"",T74/Capacity!T48)</f>
        <v>7.565932872</v>
      </c>
      <c r="U93" s="86">
        <f>IF(Capacity!U48=0,"",U74/Capacity!U48)</f>
        <v>7.565932872</v>
      </c>
      <c r="V93" s="86">
        <f>IF(Capacity!V48=0,"",V74/Capacity!V48)</f>
        <v>7.565932872</v>
      </c>
      <c r="W93" s="86">
        <f>IF(Capacity!W48=0,"",W74/Capacity!W48)</f>
        <v>7.707939872</v>
      </c>
      <c r="X93" s="86">
        <f>IF(Capacity!X48=0,"",X74/Capacity!X48)</f>
        <v>7.852612239</v>
      </c>
      <c r="Y93" s="86">
        <f>IF(Capacity!Y48=0,"",Y74/Capacity!Y48)</f>
        <v>8</v>
      </c>
      <c r="Z93" s="87">
        <f>IF(SUM(Capacity!B48:M48)=0,"",SUM(B74:M74)/SUM(Capacity!B48:M48))</f>
        <v>7.565932872</v>
      </c>
      <c r="AA93" s="87">
        <f>IF(SUM(Capacity!N48:Y48)=0,"",SUM(N74:Y74)/SUM(Capacity!N48:Y48))</f>
        <v>7.637912933</v>
      </c>
    </row>
    <row r="94" outlineLevel="1">
      <c r="A94" s="6" t="s">
        <v>419</v>
      </c>
      <c r="B94" s="85">
        <f>IF(OR(B93="",'Rep capacity'!$C$28=0),"",B93/'Rep capacity'!$C$28)</f>
        <v>0.945741609</v>
      </c>
      <c r="C94" s="85">
        <f>IF(OR(C93="",'Rep capacity'!$C$28=0),"",C93/'Rep capacity'!$C$28)</f>
        <v>0.945741609</v>
      </c>
      <c r="D94" s="85">
        <f>IF(OR(D93="",'Rep capacity'!$C$28=0),"",D93/'Rep capacity'!$C$28)</f>
        <v>0.945741609</v>
      </c>
      <c r="E94" s="85">
        <f>IF(OR(E93="",'Rep capacity'!$C$28=0),"",E93/'Rep capacity'!$C$28)</f>
        <v>0.945741609</v>
      </c>
      <c r="F94" s="85">
        <f>IF(OR(F93="",'Rep capacity'!$C$28=0),"",F93/'Rep capacity'!$C$28)</f>
        <v>0.945741609</v>
      </c>
      <c r="G94" s="85">
        <f>IF(OR(G93="",'Rep capacity'!$C$28=0),"",G93/'Rep capacity'!$C$28)</f>
        <v>0.945741609</v>
      </c>
      <c r="H94" s="85">
        <f>IF(OR(H93="",'Rep capacity'!$C$28=0),"",H93/'Rep capacity'!$C$28)</f>
        <v>0.945741609</v>
      </c>
      <c r="I94" s="85">
        <f>IF(OR(I93="",'Rep capacity'!$C$28=0),"",I93/'Rep capacity'!$C$28)</f>
        <v>0.945741609</v>
      </c>
      <c r="J94" s="85">
        <f>IF(OR(J93="",'Rep capacity'!$C$28=0),"",J93/'Rep capacity'!$C$28)</f>
        <v>0.945741609</v>
      </c>
      <c r="K94" s="85">
        <f>IF(OR(K93="",'Rep capacity'!$C$28=0),"",K93/'Rep capacity'!$C$28)</f>
        <v>0.945741609</v>
      </c>
      <c r="L94" s="85">
        <f>IF(OR(L93="",'Rep capacity'!$C$28=0),"",L93/'Rep capacity'!$C$28)</f>
        <v>0.945741609</v>
      </c>
      <c r="M94" s="85">
        <f>IF(OR(M93="",'Rep capacity'!$C$28=0),"",M93/'Rep capacity'!$C$28)</f>
        <v>0.945741609</v>
      </c>
      <c r="N94" s="85">
        <f>IF(OR(N93="",'Rep capacity'!$C$28=0),"",N93/'Rep capacity'!$C$28)</f>
        <v>0.945741609</v>
      </c>
      <c r="O94" s="85">
        <f>IF(OR(O93="",'Rep capacity'!$C$28=0),"",O93/'Rep capacity'!$C$28)</f>
        <v>0.945741609</v>
      </c>
      <c r="P94" s="85">
        <f>IF(OR(P93="",'Rep capacity'!$C$28=0),"",P93/'Rep capacity'!$C$28)</f>
        <v>0.945741609</v>
      </c>
      <c r="Q94" s="85">
        <f>IF(OR(Q93="",'Rep capacity'!$C$28=0),"",Q93/'Rep capacity'!$C$28)</f>
        <v>0.945741609</v>
      </c>
      <c r="R94" s="85">
        <f>IF(OR(R93="",'Rep capacity'!$C$28=0),"",R93/'Rep capacity'!$C$28)</f>
        <v>0.945741609</v>
      </c>
      <c r="S94" s="85">
        <f>IF(OR(S93="",'Rep capacity'!$C$28=0),"",S93/'Rep capacity'!$C$28)</f>
        <v>0.945741609</v>
      </c>
      <c r="T94" s="85">
        <f>IF(OR(T93="",'Rep capacity'!$C$28=0),"",T93/'Rep capacity'!$C$28)</f>
        <v>0.945741609</v>
      </c>
      <c r="U94" s="85">
        <f>IF(OR(U93="",'Rep capacity'!$C$28=0),"",U93/'Rep capacity'!$C$28)</f>
        <v>0.945741609</v>
      </c>
      <c r="V94" s="85">
        <f>IF(OR(V93="",'Rep capacity'!$C$28=0),"",V93/'Rep capacity'!$C$28)</f>
        <v>0.945741609</v>
      </c>
      <c r="W94" s="85">
        <f>IF(OR(W93="",'Rep capacity'!$C$28=0),"",W93/'Rep capacity'!$C$28)</f>
        <v>0.963492484</v>
      </c>
      <c r="X94" s="85">
        <f>IF(OR(X93="",'Rep capacity'!$C$28=0),"",X93/'Rep capacity'!$C$28)</f>
        <v>0.9815765299</v>
      </c>
      <c r="Y94" s="85">
        <f>IF(OR(Y93="",'Rep capacity'!$C$28=0),"",Y93/'Rep capacity'!$C$28)</f>
        <v>1</v>
      </c>
      <c r="Z94" s="84">
        <f>IF(Z93="","",Z93/'Rep capacity'!$C$28)</f>
        <v>0.945741609</v>
      </c>
      <c r="AA94" s="84">
        <f>IF(AA93="","",AA93/'Rep capacity'!$C$28)</f>
        <v>0.9547391166</v>
      </c>
    </row>
    <row r="95" outlineLevel="1">
      <c r="A95" s="12" t="s">
        <v>420</v>
      </c>
      <c r="B95" s="91" t="str">
        <f t="array" ref="B95">IF(IF(ISNUMBER(INDEX($B$21:$I$21,1,B$3)),ROUND(N(INDEX($B$21:$I$21,1,B$3)),4)&lt;ROUND('Rep capacity'!$C$37,4),FALSE),IF(IF(ISNUMBER(B94),N(B94)&gt;Inputs!$B$13,FALSE),"Pipeline + Rep load","Pipeline"),IF(IF(ISNUMBER(B94),N(B94)&gt;Inputs!$B$13,FALSE),"Rep load","OK"))</f>
        <v>OK</v>
      </c>
      <c r="C95" s="91" t="str">
        <f t="array" ref="C95">IF(IF(ISNUMBER(INDEX($B$21:$I$21,1,C$3)),ROUND(N(INDEX($B$21:$I$21,1,C$3)),4)&lt;ROUND('Rep capacity'!$C$37,4),FALSE),IF(IF(ISNUMBER(C94),N(C94)&gt;Inputs!$B$13,FALSE),"Pipeline + Rep load","Pipeline"),IF(IF(ISNUMBER(C94),N(C94)&gt;Inputs!$B$13,FALSE),"Rep load","OK"))</f>
        <v>OK</v>
      </c>
      <c r="D95" s="91" t="str">
        <f t="array" ref="D95">IF(IF(ISNUMBER(INDEX($B$21:$I$21,1,D$3)),ROUND(N(INDEX($B$21:$I$21,1,D$3)),4)&lt;ROUND('Rep capacity'!$C$37,4),FALSE),IF(IF(ISNUMBER(D94),N(D94)&gt;Inputs!$B$13,FALSE),"Pipeline + Rep load","Pipeline"),IF(IF(ISNUMBER(D94),N(D94)&gt;Inputs!$B$13,FALSE),"Rep load","OK"))</f>
        <v>OK</v>
      </c>
      <c r="E95" s="91" t="str">
        <f t="array" ref="E95">IF(IF(ISNUMBER(INDEX($B$21:$I$21,1,E$3)),ROUND(N(INDEX($B$21:$I$21,1,E$3)),4)&lt;ROUND('Rep capacity'!$C$37,4),FALSE),IF(IF(ISNUMBER(E94),N(E94)&gt;Inputs!$B$13,FALSE),"Pipeline + Rep load","Pipeline"),IF(IF(ISNUMBER(E94),N(E94)&gt;Inputs!$B$13,FALSE),"Rep load","OK"))</f>
        <v>OK</v>
      </c>
      <c r="F95" s="91" t="str">
        <f t="array" ref="F95">IF(IF(ISNUMBER(INDEX($B$21:$I$21,1,F$3)),ROUND(N(INDEX($B$21:$I$21,1,F$3)),4)&lt;ROUND('Rep capacity'!$C$37,4),FALSE),IF(IF(ISNUMBER(F94),N(F94)&gt;Inputs!$B$13,FALSE),"Pipeline + Rep load","Pipeline"),IF(IF(ISNUMBER(F94),N(F94)&gt;Inputs!$B$13,FALSE),"Rep load","OK"))</f>
        <v>OK</v>
      </c>
      <c r="G95" s="91" t="str">
        <f t="array" ref="G95">IF(IF(ISNUMBER(INDEX($B$21:$I$21,1,G$3)),ROUND(N(INDEX($B$21:$I$21,1,G$3)),4)&lt;ROUND('Rep capacity'!$C$37,4),FALSE),IF(IF(ISNUMBER(G94),N(G94)&gt;Inputs!$B$13,FALSE),"Pipeline + Rep load","Pipeline"),IF(IF(ISNUMBER(G94),N(G94)&gt;Inputs!$B$13,FALSE),"Rep load","OK"))</f>
        <v>OK</v>
      </c>
      <c r="H95" s="91" t="str">
        <f t="array" ref="H95">IF(IF(ISNUMBER(INDEX($B$21:$I$21,1,H$3)),ROUND(N(INDEX($B$21:$I$21,1,H$3)),4)&lt;ROUND('Rep capacity'!$C$37,4),FALSE),IF(IF(ISNUMBER(H94),N(H94)&gt;Inputs!$B$13,FALSE),"Pipeline + Rep load","Pipeline"),IF(IF(ISNUMBER(H94),N(H94)&gt;Inputs!$B$13,FALSE),"Rep load","OK"))</f>
        <v>OK</v>
      </c>
      <c r="I95" s="91" t="str">
        <f t="array" ref="I95">IF(IF(ISNUMBER(INDEX($B$21:$I$21,1,I$3)),ROUND(N(INDEX($B$21:$I$21,1,I$3)),4)&lt;ROUND('Rep capacity'!$C$37,4),FALSE),IF(IF(ISNUMBER(I94),N(I94)&gt;Inputs!$B$13,FALSE),"Pipeline + Rep load","Pipeline"),IF(IF(ISNUMBER(I94),N(I94)&gt;Inputs!$B$13,FALSE),"Rep load","OK"))</f>
        <v>OK</v>
      </c>
      <c r="J95" s="91" t="str">
        <f t="array" ref="J95">IF(IF(ISNUMBER(INDEX($B$21:$I$21,1,J$3)),ROUND(N(INDEX($B$21:$I$21,1,J$3)),4)&lt;ROUND('Rep capacity'!$C$37,4),FALSE),IF(IF(ISNUMBER(J94),N(J94)&gt;Inputs!$B$13,FALSE),"Pipeline + Rep load","Pipeline"),IF(IF(ISNUMBER(J94),N(J94)&gt;Inputs!$B$13,FALSE),"Rep load","OK"))</f>
        <v>OK</v>
      </c>
      <c r="K95" s="91" t="str">
        <f t="array" ref="K95">IF(IF(ISNUMBER(INDEX($B$21:$I$21,1,K$3)),ROUND(N(INDEX($B$21:$I$21,1,K$3)),4)&lt;ROUND('Rep capacity'!$C$37,4),FALSE),IF(IF(ISNUMBER(K94),N(K94)&gt;Inputs!$B$13,FALSE),"Pipeline + Rep load","Pipeline"),IF(IF(ISNUMBER(K94),N(K94)&gt;Inputs!$B$13,FALSE),"Rep load","OK"))</f>
        <v>OK</v>
      </c>
      <c r="L95" s="91" t="str">
        <f t="array" ref="L95">IF(IF(ISNUMBER(INDEX($B$21:$I$21,1,L$3)),ROUND(N(INDEX($B$21:$I$21,1,L$3)),4)&lt;ROUND('Rep capacity'!$C$37,4),FALSE),IF(IF(ISNUMBER(L94),N(L94)&gt;Inputs!$B$13,FALSE),"Pipeline + Rep load","Pipeline"),IF(IF(ISNUMBER(L94),N(L94)&gt;Inputs!$B$13,FALSE),"Rep load","OK"))</f>
        <v>OK</v>
      </c>
      <c r="M95" s="91" t="str">
        <f t="array" ref="M95">IF(IF(ISNUMBER(INDEX($B$21:$I$21,1,M$3)),ROUND(N(INDEX($B$21:$I$21,1,M$3)),4)&lt;ROUND('Rep capacity'!$C$37,4),FALSE),IF(IF(ISNUMBER(M94),N(M94)&gt;Inputs!$B$13,FALSE),"Pipeline + Rep load","Pipeline"),IF(IF(ISNUMBER(M94),N(M94)&gt;Inputs!$B$13,FALSE),"Rep load","OK"))</f>
        <v>OK</v>
      </c>
      <c r="N95" s="91" t="str">
        <f t="array" ref="N95">IF(IF(ISNUMBER(INDEX($B$21:$I$21,1,N$3)),ROUND(N(INDEX($B$21:$I$21,1,N$3)),4)&lt;ROUND('Rep capacity'!$C$37,4),FALSE),IF(IF(ISNUMBER(N94),N(N94)&gt;Inputs!$B$13,FALSE),"Pipeline + Rep load","Pipeline"),IF(IF(ISNUMBER(N94),N(N94)&gt;Inputs!$B$13,FALSE),"Rep load","OK"))</f>
        <v>OK</v>
      </c>
      <c r="O95" s="91" t="str">
        <f t="array" ref="O95">IF(IF(ISNUMBER(INDEX($B$21:$I$21,1,O$3)),ROUND(N(INDEX($B$21:$I$21,1,O$3)),4)&lt;ROUND('Rep capacity'!$C$37,4),FALSE),IF(IF(ISNUMBER(O94),N(O94)&gt;Inputs!$B$13,FALSE),"Pipeline + Rep load","Pipeline"),IF(IF(ISNUMBER(O94),N(O94)&gt;Inputs!$B$13,FALSE),"Rep load","OK"))</f>
        <v>OK</v>
      </c>
      <c r="P95" s="91" t="str">
        <f t="array" ref="P95">IF(IF(ISNUMBER(INDEX($B$21:$I$21,1,P$3)),ROUND(N(INDEX($B$21:$I$21,1,P$3)),4)&lt;ROUND('Rep capacity'!$C$37,4),FALSE),IF(IF(ISNUMBER(P94),N(P94)&gt;Inputs!$B$13,FALSE),"Pipeline + Rep load","Pipeline"),IF(IF(ISNUMBER(P94),N(P94)&gt;Inputs!$B$13,FALSE),"Rep load","OK"))</f>
        <v>OK</v>
      </c>
      <c r="Q95" s="91" t="str">
        <f t="array" ref="Q95">IF(IF(ISNUMBER(INDEX($B$21:$I$21,1,Q$3)),ROUND(N(INDEX($B$21:$I$21,1,Q$3)),4)&lt;ROUND('Rep capacity'!$C$37,4),FALSE),IF(IF(ISNUMBER(Q94),N(Q94)&gt;Inputs!$B$13,FALSE),"Pipeline + Rep load","Pipeline"),IF(IF(ISNUMBER(Q94),N(Q94)&gt;Inputs!$B$13,FALSE),"Rep load","OK"))</f>
        <v>OK</v>
      </c>
      <c r="R95" s="91" t="str">
        <f t="array" ref="R95">IF(IF(ISNUMBER(INDEX($B$21:$I$21,1,R$3)),ROUND(N(INDEX($B$21:$I$21,1,R$3)),4)&lt;ROUND('Rep capacity'!$C$37,4),FALSE),IF(IF(ISNUMBER(R94),N(R94)&gt;Inputs!$B$13,FALSE),"Pipeline + Rep load","Pipeline"),IF(IF(ISNUMBER(R94),N(R94)&gt;Inputs!$B$13,FALSE),"Rep load","OK"))</f>
        <v>OK</v>
      </c>
      <c r="S95" s="91" t="str">
        <f t="array" ref="S95">IF(IF(ISNUMBER(INDEX($B$21:$I$21,1,S$3)),ROUND(N(INDEX($B$21:$I$21,1,S$3)),4)&lt;ROUND('Rep capacity'!$C$37,4),FALSE),IF(IF(ISNUMBER(S94),N(S94)&gt;Inputs!$B$13,FALSE),"Pipeline + Rep load","Pipeline"),IF(IF(ISNUMBER(S94),N(S94)&gt;Inputs!$B$13,FALSE),"Rep load","OK"))</f>
        <v>OK</v>
      </c>
      <c r="T95" s="91" t="str">
        <f t="array" ref="T95">IF(IF(ISNUMBER(INDEX($B$21:$I$21,1,T$3)),ROUND(N(INDEX($B$21:$I$21,1,T$3)),4)&lt;ROUND('Rep capacity'!$C$37,4),FALSE),IF(IF(ISNUMBER(T94),N(T94)&gt;Inputs!$B$13,FALSE),"Pipeline + Rep load","Pipeline"),IF(IF(ISNUMBER(T94),N(T94)&gt;Inputs!$B$13,FALSE),"Rep load","OK"))</f>
        <v>OK</v>
      </c>
      <c r="U95" s="91" t="str">
        <f t="array" ref="U95">IF(IF(ISNUMBER(INDEX($B$21:$I$21,1,U$3)),ROUND(N(INDEX($B$21:$I$21,1,U$3)),4)&lt;ROUND('Rep capacity'!$C$37,4),FALSE),IF(IF(ISNUMBER(U94),N(U94)&gt;Inputs!$B$13,FALSE),"Pipeline + Rep load","Pipeline"),IF(IF(ISNUMBER(U94),N(U94)&gt;Inputs!$B$13,FALSE),"Rep load","OK"))</f>
        <v>OK</v>
      </c>
      <c r="V95" s="91" t="str">
        <f t="array" ref="V95">IF(IF(ISNUMBER(INDEX($B$21:$I$21,1,V$3)),ROUND(N(INDEX($B$21:$I$21,1,V$3)),4)&lt;ROUND('Rep capacity'!$C$37,4),FALSE),IF(IF(ISNUMBER(V94),N(V94)&gt;Inputs!$B$13,FALSE),"Pipeline + Rep load","Pipeline"),IF(IF(ISNUMBER(V94),N(V94)&gt;Inputs!$B$13,FALSE),"Rep load","OK"))</f>
        <v>OK</v>
      </c>
      <c r="W95" s="91" t="str">
        <f t="array" ref="W95">IF(IF(ISNUMBER(INDEX($B$21:$I$21,1,W$3)),ROUND(N(INDEX($B$21:$I$21,1,W$3)),4)&lt;ROUND('Rep capacity'!$C$37,4),FALSE),IF(IF(ISNUMBER(W94),N(W94)&gt;Inputs!$B$13,FALSE),"Pipeline + Rep load","Pipeline"),IF(IF(ISNUMBER(W94),N(W94)&gt;Inputs!$B$13,FALSE),"Rep load","OK"))</f>
        <v>OK</v>
      </c>
      <c r="X95" s="91" t="str">
        <f t="array" ref="X95">IF(IF(ISNUMBER(INDEX($B$21:$I$21,1,X$3)),ROUND(N(INDEX($B$21:$I$21,1,X$3)),4)&lt;ROUND('Rep capacity'!$C$37,4),FALSE),IF(IF(ISNUMBER(X94),N(X94)&gt;Inputs!$B$13,FALSE),"Pipeline + Rep load","Pipeline"),IF(IF(ISNUMBER(X94),N(X94)&gt;Inputs!$B$13,FALSE),"Rep load","OK"))</f>
        <v>OK</v>
      </c>
      <c r="Y95" s="91" t="str">
        <f t="array" ref="Y95">IF(IF(ISNUMBER(INDEX($B$21:$I$21,1,Y$3)),ROUND(N(INDEX($B$21:$I$21,1,Y$3)),4)&lt;ROUND('Rep capacity'!$C$37,4),FALSE),IF(IF(ISNUMBER(Y94),N(Y94)&gt;Inputs!$B$13,FALSE),"Pipeline + Rep load","Pipeline"),IF(IF(ISNUMBER(Y94),N(Y94)&gt;Inputs!$B$13,FALSE),"Rep load","OK"))</f>
        <v>OK</v>
      </c>
      <c r="Z95" s="51"/>
      <c r="AA95" s="51"/>
    </row>
    <row r="96" outlineLevel="1">
      <c r="A96" s="3"/>
      <c r="Z96" s="51"/>
      <c r="AA96" s="51"/>
    </row>
    <row r="97">
      <c r="A97" s="4" t="s">
        <v>422</v>
      </c>
      <c r="B97" s="46"/>
      <c r="C97" s="46"/>
      <c r="D97" s="46"/>
      <c r="E97" s="46"/>
      <c r="F97" s="46"/>
      <c r="G97" s="46"/>
      <c r="H97" s="46"/>
      <c r="I97" s="46"/>
      <c r="J97" s="46"/>
      <c r="K97" s="46"/>
      <c r="L97" s="46"/>
      <c r="M97" s="46"/>
      <c r="N97" s="46"/>
      <c r="O97" s="46"/>
      <c r="P97" s="46"/>
      <c r="Q97" s="46"/>
      <c r="R97" s="46"/>
      <c r="S97" s="46"/>
      <c r="T97" s="46"/>
      <c r="U97" s="46"/>
      <c r="V97" s="46"/>
      <c r="W97" s="46"/>
      <c r="X97" s="46"/>
      <c r="Y97" s="46"/>
      <c r="Z97" s="46"/>
      <c r="AA97" s="46"/>
    </row>
    <row r="98" outlineLevel="1">
      <c r="A98" s="3" t="str">
        <f>"Produced: leads ("&amp;Inputs!$B$11&amp;"; monthly overrides on Inputs win)"</f>
        <v>Produced: leads (Paced to plan; monthly overrides on Inputs win)</v>
      </c>
      <c r="B98" s="86">
        <f t="array" ref="B98">IF(ISNUMBER(Inputs!J$73),Inputs!J$73,IF(Inputs!$B$11="Paced to plan",IF(ISNUMBER(B118),B118,IF(ISNUMBER(INDEX($B118:$Y118,1,MAX(1,24-Inputs!$G$30))),INDEX($B118:$Y118,1,MAX(1,24-Inputs!$G$30)),0)),IF(B$4=1,Inputs!$G$43,Inputs!$G$44)))</f>
        <v>50.53068685</v>
      </c>
      <c r="C98" s="86">
        <f t="array" ref="C98">IF(ISNUMBER(Inputs!K$73),Inputs!K$73,IF(Inputs!$B$11="Paced to plan",IF(ISNUMBER(C118),C118,IF(ISNUMBER(INDEX($B118:$Y118,1,MAX(1,24-Inputs!$G$30))),INDEX($B118:$Y118,1,MAX(1,24-Inputs!$G$30)),0)),IF(C$4=1,Inputs!$G$43,Inputs!$G$44)))</f>
        <v>62.48362245</v>
      </c>
      <c r="D98" s="86">
        <f t="array" ref="D98">IF(ISNUMBER(Inputs!L$73),Inputs!L$73,IF(Inputs!$B$11="Paced to plan",IF(ISNUMBER(D118),D118,IF(ISNUMBER(INDEX($B118:$Y118,1,MAX(1,24-Inputs!$G$30))),INDEX($B118:$Y118,1,MAX(1,24-Inputs!$G$30)),0)),IF(D$4=1,Inputs!$G$43,Inputs!$G$44)))</f>
        <v>74.10583375</v>
      </c>
      <c r="E98" s="86">
        <f t="array" ref="E98">IF(ISNUMBER(Inputs!M$73),Inputs!M$73,IF(Inputs!$B$11="Paced to plan",IF(ISNUMBER(E118),E118,IF(ISNUMBER(INDEX($B118:$Y118,1,MAX(1,24-Inputs!$G$30))),INDEX($B118:$Y118,1,MAX(1,24-Inputs!$G$30)),0)),IF(E$4=1,Inputs!$G$43,Inputs!$G$44)))</f>
        <v>85.4040556</v>
      </c>
      <c r="F98" s="86">
        <f t="array" ref="F98">IF(ISNUMBER(Inputs!N$73),Inputs!N$73,IF(Inputs!$B$11="Paced to plan",IF(ISNUMBER(F118),F118,IF(ISNUMBER(INDEX($B118:$Y118,1,MAX(1,24-Inputs!$G$30))),INDEX($B118:$Y118,1,MAX(1,24-Inputs!$G$30)),0)),IF(F$4=1,Inputs!$G$43,Inputs!$G$44)))</f>
        <v>96.38490147</v>
      </c>
      <c r="G98" s="86">
        <f t="array" ref="G98">IF(ISNUMBER(Inputs!O$73),Inputs!O$73,IF(Inputs!$B$11="Paced to plan",IF(ISNUMBER(G118),G118,IF(ISNUMBER(INDEX($B118:$Y118,1,MAX(1,24-Inputs!$G$30))),INDEX($B118:$Y118,1,MAX(1,24-Inputs!$G$30)),0)),IF(G$4=1,Inputs!$G$43,Inputs!$G$44)))</f>
        <v>95.08833688</v>
      </c>
      <c r="H98" s="86">
        <f t="array" ref="H98">IF(ISNUMBER(Inputs!P$73),Inputs!P$73,IF(Inputs!$B$11="Paced to plan",IF(ISNUMBER(H118),H118,IF(ISNUMBER(INDEX($B118:$Y118,1,MAX(1,24-Inputs!$G$30))),INDEX($B118:$Y118,1,MAX(1,24-Inputs!$G$30)),0)),IF(H$4=1,Inputs!$G$43,Inputs!$G$44)))</f>
        <v>93.80921361</v>
      </c>
      <c r="I98" s="86">
        <f t="array" ref="I98">IF(ISNUMBER(Inputs!Q$73),Inputs!Q$73,IF(Inputs!$B$11="Paced to plan",IF(ISNUMBER(I118),I118,IF(ISNUMBER(INDEX($B118:$Y118,1,MAX(1,24-Inputs!$G$30))),INDEX($B118:$Y118,1,MAX(1,24-Inputs!$G$30)),0)),IF(I$4=1,Inputs!$G$43,Inputs!$G$44)))</f>
        <v>92.54729704</v>
      </c>
      <c r="J98" s="86">
        <f t="array" ref="J98">IF(ISNUMBER(Inputs!R$73),Inputs!R$73,IF(Inputs!$B$11="Paced to plan",IF(ISNUMBER(J118),J118,IF(ISNUMBER(INDEX($B118:$Y118,1,MAX(1,24-Inputs!$G$30))),INDEX($B118:$Y118,1,MAX(1,24-Inputs!$G$30)),0)),IF(J$4=1,Inputs!$G$43,Inputs!$G$44)))</f>
        <v>91.30235571</v>
      </c>
      <c r="K98" s="86">
        <f t="array" ref="K98">IF(ISNUMBER(Inputs!S$73),Inputs!S$73,IF(Inputs!$B$11="Paced to plan",IF(ISNUMBER(K118),K118,IF(ISNUMBER(INDEX($B118:$Y118,1,MAX(1,24-Inputs!$G$30))),INDEX($B118:$Y118,1,MAX(1,24-Inputs!$G$30)),0)),IF(K$4=1,Inputs!$G$43,Inputs!$G$44)))</f>
        <v>90.07416126</v>
      </c>
      <c r="L98" s="86">
        <f t="array" ref="L98">IF(ISNUMBER(Inputs!T$73),Inputs!T$73,IF(Inputs!$B$11="Paced to plan",IF(ISNUMBER(L118),L118,IF(ISNUMBER(INDEX($B118:$Y118,1,MAX(1,24-Inputs!$G$30))),INDEX($B118:$Y118,1,MAX(1,24-Inputs!$G$30)),0)),IF(L$4=1,Inputs!$G$43,Inputs!$G$44)))</f>
        <v>88.86248841</v>
      </c>
      <c r="M98" s="86">
        <f t="array" ref="M98">IF(ISNUMBER(Inputs!U$73),Inputs!U$73,IF(Inputs!$B$11="Paced to plan",IF(ISNUMBER(M118),M118,IF(ISNUMBER(INDEX($B118:$Y118,1,MAX(1,24-Inputs!$G$30))),INDEX($B118:$Y118,1,MAX(1,24-Inputs!$G$30)),0)),IF(M$4=1,Inputs!$G$43,Inputs!$G$44)))</f>
        <v>87.66711493</v>
      </c>
      <c r="N98" s="86">
        <f t="array" ref="N98">IF(ISNUMBER(Inputs!V$73),Inputs!V$73,IF(Inputs!$B$11="Paced to plan",IF(ISNUMBER(N118),N118,IF(ISNUMBER(INDEX($B118:$Y118,1,MAX(1,24-Inputs!$G$30))),INDEX($B118:$Y118,1,MAX(1,24-Inputs!$G$30)),0)),IF(N$4=1,Inputs!$G$43,Inputs!$G$44)))</f>
        <v>86.48782154</v>
      </c>
      <c r="O98" s="86">
        <f t="array" ref="O98">IF(ISNUMBER(Inputs!W$73),Inputs!W$73,IF(Inputs!$B$11="Paced to plan",IF(ISNUMBER(O118),O118,IF(ISNUMBER(INDEX($B118:$Y118,1,MAX(1,24-Inputs!$G$30))),INDEX($B118:$Y118,1,MAX(1,24-Inputs!$G$30)),0)),IF(O$4=1,Inputs!$G$43,Inputs!$G$44)))</f>
        <v>85.32439195</v>
      </c>
      <c r="P98" s="86">
        <f t="array" ref="P98">IF(ISNUMBER(Inputs!X$73),Inputs!X$73,IF(Inputs!$B$11="Paced to plan",IF(ISNUMBER(P118),P118,IF(ISNUMBER(INDEX($B118:$Y118,1,MAX(1,24-Inputs!$G$30))),INDEX($B118:$Y118,1,MAX(1,24-Inputs!$G$30)),0)),IF(P$4=1,Inputs!$G$43,Inputs!$G$44)))</f>
        <v>84.17661275</v>
      </c>
      <c r="Q98" s="86">
        <f t="array" ref="Q98">IF(ISNUMBER(Inputs!Y$73),Inputs!Y$73,IF(Inputs!$B$11="Paced to plan",IF(ISNUMBER(Q118),Q118,IF(ISNUMBER(INDEX($B118:$Y118,1,MAX(1,24-Inputs!$G$30))),INDEX($B118:$Y118,1,MAX(1,24-Inputs!$G$30)),0)),IF(Q$4=1,Inputs!$G$43,Inputs!$G$44)))</f>
        <v>83.04427341</v>
      </c>
      <c r="R98" s="86">
        <f t="array" ref="R98">IF(ISNUMBER(Inputs!Z$73),Inputs!Z$73,IF(Inputs!$B$11="Paced to plan",IF(ISNUMBER(R118),R118,IF(ISNUMBER(INDEX($B118:$Y118,1,MAX(1,24-Inputs!$G$30))),INDEX($B118:$Y118,1,MAX(1,24-Inputs!$G$30)),0)),IF(R$4=1,Inputs!$G$43,Inputs!$G$44)))</f>
        <v>81.92716625</v>
      </c>
      <c r="S98" s="86">
        <f t="array" ref="S98">IF(ISNUMBER(Inputs!AA$73),Inputs!AA$73,IF(Inputs!$B$11="Paced to plan",IF(ISNUMBER(S118),S118,IF(ISNUMBER(INDEX($B118:$Y118,1,MAX(1,24-Inputs!$G$30))),INDEX($B118:$Y118,1,MAX(1,24-Inputs!$G$30)),0)),IF(S$4=1,Inputs!$G$43,Inputs!$G$44)))</f>
        <v>80.82508635</v>
      </c>
      <c r="T98" s="86">
        <f t="array" ref="T98">IF(ISNUMBER(Inputs!AB$73),Inputs!AB$73,IF(Inputs!$B$11="Paced to plan",IF(ISNUMBER(T118),T118,IF(ISNUMBER(INDEX($B118:$Y118,1,MAX(1,24-Inputs!$G$30))),INDEX($B118:$Y118,1,MAX(1,24-Inputs!$G$30)),0)),IF(T$4=1,Inputs!$G$43,Inputs!$G$44)))</f>
        <v>80.82508635</v>
      </c>
      <c r="U98" s="86">
        <f t="array" ref="U98">IF(ISNUMBER(Inputs!AC$73),Inputs!AC$73,IF(Inputs!$B$11="Paced to plan",IF(ISNUMBER(U118),U118,IF(ISNUMBER(INDEX($B118:$Y118,1,MAX(1,24-Inputs!$G$30))),INDEX($B118:$Y118,1,MAX(1,24-Inputs!$G$30)),0)),IF(U$4=1,Inputs!$G$43,Inputs!$G$44)))</f>
        <v>80.82508635</v>
      </c>
      <c r="V98" s="86">
        <f t="array" ref="V98">IF(ISNUMBER(Inputs!AD$73),Inputs!AD$73,IF(Inputs!$B$11="Paced to plan",IF(ISNUMBER(V118),V118,IF(ISNUMBER(INDEX($B118:$Y118,1,MAX(1,24-Inputs!$G$30))),INDEX($B118:$Y118,1,MAX(1,24-Inputs!$G$30)),0)),IF(V$4=1,Inputs!$G$43,Inputs!$G$44)))</f>
        <v>80.82508635</v>
      </c>
      <c r="W98" s="86">
        <f t="array" ref="W98">IF(ISNUMBER(Inputs!AE$73),Inputs!AE$73,IF(Inputs!$B$11="Paced to plan",IF(ISNUMBER(W118),W118,IF(ISNUMBER(INDEX($B118:$Y118,1,MAX(1,24-Inputs!$G$30))),INDEX($B118:$Y118,1,MAX(1,24-Inputs!$G$30)),0)),IF(W$4=1,Inputs!$G$43,Inputs!$G$44)))</f>
        <v>80.82508635</v>
      </c>
      <c r="X98" s="86">
        <f t="array" ref="X98">IF(ISNUMBER(Inputs!AF$73),Inputs!AF$73,IF(Inputs!$B$11="Paced to plan",IF(ISNUMBER(X118),X118,IF(ISNUMBER(INDEX($B118:$Y118,1,MAX(1,24-Inputs!$G$30))),INDEX($B118:$Y118,1,MAX(1,24-Inputs!$G$30)),0)),IF(X$4=1,Inputs!$G$43,Inputs!$G$44)))</f>
        <v>80.82508635</v>
      </c>
      <c r="Y98" s="86">
        <f t="array" ref="Y98">IF(ISNUMBER(Inputs!AG$73),Inputs!AG$73,IF(Inputs!$B$11="Paced to plan",IF(ISNUMBER(Y118),Y118,IF(ISNUMBER(INDEX($B118:$Y118,1,MAX(1,24-Inputs!$G$30))),INDEX($B118:$Y118,1,MAX(1,24-Inputs!$G$30)),0)),IF(Y$4=1,Inputs!$G$43,Inputs!$G$44)))</f>
        <v>80.82508635</v>
      </c>
      <c r="Z98" s="87">
        <f t="shared" ref="Z98:Z100" si="54">SUM(B98:M98)</f>
        <v>1008.260068</v>
      </c>
      <c r="AA98" s="87">
        <f t="shared" ref="AA98:AA100" si="55">SUM(N98:Y98)</f>
        <v>986.7358704</v>
      </c>
    </row>
    <row r="99" outlineLevel="1">
      <c r="A99" s="6" t="s">
        <v>397</v>
      </c>
      <c r="B99" s="86">
        <f>B98*Inputs!$G$38</f>
        <v>15.15920606</v>
      </c>
      <c r="C99" s="86">
        <f>C98*Inputs!$G$38</f>
        <v>18.74508673</v>
      </c>
      <c r="D99" s="86">
        <f>D98*Inputs!$G$38</f>
        <v>22.23175013</v>
      </c>
      <c r="E99" s="86">
        <f>E98*Inputs!$G$38</f>
        <v>25.62121668</v>
      </c>
      <c r="F99" s="86">
        <f>F98*Inputs!$G$38</f>
        <v>28.91547044</v>
      </c>
      <c r="G99" s="86">
        <f>G98*Inputs!$G$38</f>
        <v>28.52650106</v>
      </c>
      <c r="H99" s="86">
        <f>H98*Inputs!$G$38</f>
        <v>28.14276408</v>
      </c>
      <c r="I99" s="86">
        <f>I98*Inputs!$G$38</f>
        <v>27.76418911</v>
      </c>
      <c r="J99" s="86">
        <f>J98*Inputs!$G$38</f>
        <v>27.39070671</v>
      </c>
      <c r="K99" s="86">
        <f>K98*Inputs!$G$38</f>
        <v>27.02224838</v>
      </c>
      <c r="L99" s="86">
        <f>L98*Inputs!$G$38</f>
        <v>26.65874652</v>
      </c>
      <c r="M99" s="86">
        <f>M98*Inputs!$G$38</f>
        <v>26.30013448</v>
      </c>
      <c r="N99" s="86">
        <f>N98*Inputs!$G$38</f>
        <v>25.94634646</v>
      </c>
      <c r="O99" s="86">
        <f>O98*Inputs!$G$38</f>
        <v>25.59731758</v>
      </c>
      <c r="P99" s="86">
        <f>P98*Inputs!$G$38</f>
        <v>25.25298382</v>
      </c>
      <c r="Q99" s="86">
        <f>Q98*Inputs!$G$38</f>
        <v>24.91328202</v>
      </c>
      <c r="R99" s="86">
        <f>R98*Inputs!$G$38</f>
        <v>24.57814987</v>
      </c>
      <c r="S99" s="86">
        <f>S98*Inputs!$G$38</f>
        <v>24.24752591</v>
      </c>
      <c r="T99" s="86">
        <f>T98*Inputs!$G$38</f>
        <v>24.24752591</v>
      </c>
      <c r="U99" s="86">
        <f>U98*Inputs!$G$38</f>
        <v>24.24752591</v>
      </c>
      <c r="V99" s="86">
        <f>V98*Inputs!$G$38</f>
        <v>24.24752591</v>
      </c>
      <c r="W99" s="86">
        <f>W98*Inputs!$G$38</f>
        <v>24.24752591</v>
      </c>
      <c r="X99" s="86">
        <f>X98*Inputs!$G$38</f>
        <v>24.24752591</v>
      </c>
      <c r="Y99" s="86">
        <f>Y98*Inputs!$G$38</f>
        <v>24.24752591</v>
      </c>
      <c r="Z99" s="87">
        <f t="shared" si="54"/>
        <v>302.4780204</v>
      </c>
      <c r="AA99" s="87">
        <f t="shared" si="55"/>
        <v>296.0207611</v>
      </c>
    </row>
    <row r="100" outlineLevel="1">
      <c r="A100" s="6" t="s">
        <v>398</v>
      </c>
      <c r="B100" s="86">
        <f>B99*Inputs!$G$39</f>
        <v>4.547761817</v>
      </c>
      <c r="C100" s="86">
        <f>C99*Inputs!$G$39</f>
        <v>5.62352602</v>
      </c>
      <c r="D100" s="86">
        <f>D99*Inputs!$G$39</f>
        <v>6.669525038</v>
      </c>
      <c r="E100" s="86">
        <f>E99*Inputs!$G$39</f>
        <v>7.686365004</v>
      </c>
      <c r="F100" s="86">
        <f>F99*Inputs!$G$39</f>
        <v>8.674641132</v>
      </c>
      <c r="G100" s="86">
        <f>G99*Inputs!$G$39</f>
        <v>8.557950319</v>
      </c>
      <c r="H100" s="86">
        <f>H99*Inputs!$G$39</f>
        <v>8.442829225</v>
      </c>
      <c r="I100" s="86">
        <f>I99*Inputs!$G$39</f>
        <v>8.329256734</v>
      </c>
      <c r="J100" s="86">
        <f>J99*Inputs!$G$39</f>
        <v>8.217212014</v>
      </c>
      <c r="K100" s="86">
        <f>K99*Inputs!$G$39</f>
        <v>8.106674513</v>
      </c>
      <c r="L100" s="86">
        <f>L99*Inputs!$G$39</f>
        <v>7.997623957</v>
      </c>
      <c r="M100" s="86">
        <f>M99*Inputs!$G$39</f>
        <v>7.890040343</v>
      </c>
      <c r="N100" s="86">
        <f>N99*Inputs!$G$39</f>
        <v>7.783903939</v>
      </c>
      <c r="O100" s="86">
        <f>O99*Inputs!$G$39</f>
        <v>7.679195275</v>
      </c>
      <c r="P100" s="86">
        <f>P99*Inputs!$G$39</f>
        <v>7.575895147</v>
      </c>
      <c r="Q100" s="86">
        <f>Q99*Inputs!$G$39</f>
        <v>7.473984607</v>
      </c>
      <c r="R100" s="86">
        <f>R99*Inputs!$G$39</f>
        <v>7.373444962</v>
      </c>
      <c r="S100" s="86">
        <f>S99*Inputs!$G$39</f>
        <v>7.274257772</v>
      </c>
      <c r="T100" s="86">
        <f>T99*Inputs!$G$39</f>
        <v>7.274257772</v>
      </c>
      <c r="U100" s="86">
        <f>U99*Inputs!$G$39</f>
        <v>7.274257772</v>
      </c>
      <c r="V100" s="86">
        <f>V99*Inputs!$G$39</f>
        <v>7.274257772</v>
      </c>
      <c r="W100" s="86">
        <f>W99*Inputs!$G$39</f>
        <v>7.274257772</v>
      </c>
      <c r="X100" s="86">
        <f>X99*Inputs!$G$39</f>
        <v>7.274257772</v>
      </c>
      <c r="Y100" s="86">
        <f>Y99*Inputs!$G$39</f>
        <v>7.274257772</v>
      </c>
      <c r="Z100" s="87">
        <f t="shared" si="54"/>
        <v>90.74340612</v>
      </c>
      <c r="AA100" s="87">
        <f t="shared" si="55"/>
        <v>88.80622833</v>
      </c>
    </row>
    <row r="101" outlineLevel="1">
      <c r="A101" s="6" t="s">
        <v>399</v>
      </c>
      <c r="B101" s="88">
        <v>0.0</v>
      </c>
      <c r="C101" s="86">
        <f>B105*Inputs!$G$42</f>
        <v>0</v>
      </c>
      <c r="D101" s="86">
        <f>C105*Inputs!$G$42</f>
        <v>0</v>
      </c>
      <c r="E101" s="86">
        <f>D105*Inputs!$G$42</f>
        <v>0</v>
      </c>
      <c r="F101" s="86">
        <f>E105*Inputs!$G$42</f>
        <v>0</v>
      </c>
      <c r="G101" s="86">
        <f>F105*Inputs!$G$42</f>
        <v>0</v>
      </c>
      <c r="H101" s="86">
        <f>G105*Inputs!$G$42</f>
        <v>0</v>
      </c>
      <c r="I101" s="86">
        <f>H105*Inputs!$G$42</f>
        <v>0</v>
      </c>
      <c r="J101" s="86">
        <f>I105*Inputs!$G$42</f>
        <v>0</v>
      </c>
      <c r="K101" s="86">
        <f>J105*Inputs!$G$42</f>
        <v>0</v>
      </c>
      <c r="L101" s="86">
        <f>K105*Inputs!$G$42</f>
        <v>0</v>
      </c>
      <c r="M101" s="86">
        <f>L105*Inputs!$G$42</f>
        <v>0</v>
      </c>
      <c r="N101" s="86">
        <f>M105*Inputs!$G$42</f>
        <v>0</v>
      </c>
      <c r="O101" s="86">
        <f>N105*Inputs!$G$42</f>
        <v>0</v>
      </c>
      <c r="P101" s="86">
        <f>O105*Inputs!$G$42</f>
        <v>0</v>
      </c>
      <c r="Q101" s="86">
        <f>P105*Inputs!$G$42</f>
        <v>0</v>
      </c>
      <c r="R101" s="86">
        <f>Q105*Inputs!$G$42</f>
        <v>0</v>
      </c>
      <c r="S101" s="86">
        <f>R105*Inputs!$G$42</f>
        <v>0</v>
      </c>
      <c r="T101" s="86">
        <f>S105*Inputs!$G$42</f>
        <v>0</v>
      </c>
      <c r="U101" s="86">
        <f>T105*Inputs!$G$42</f>
        <v>0</v>
      </c>
      <c r="V101" s="86">
        <f>U105*Inputs!$G$42</f>
        <v>0</v>
      </c>
      <c r="W101" s="86">
        <f>V105*Inputs!$G$42</f>
        <v>0</v>
      </c>
      <c r="X101" s="86">
        <f>W105*Inputs!$G$42</f>
        <v>0</v>
      </c>
      <c r="Y101" s="86">
        <f>X105*Inputs!$G$42</f>
        <v>0</v>
      </c>
      <c r="Z101" s="87"/>
      <c r="AA101" s="87"/>
    </row>
    <row r="102" outlineLevel="1">
      <c r="A102" s="6" t="s">
        <v>400</v>
      </c>
      <c r="B102" s="86">
        <f t="shared" ref="B102:Y102" si="56">B100+B101</f>
        <v>4.547761817</v>
      </c>
      <c r="C102" s="86">
        <f t="shared" si="56"/>
        <v>5.62352602</v>
      </c>
      <c r="D102" s="86">
        <f t="shared" si="56"/>
        <v>6.669525038</v>
      </c>
      <c r="E102" s="86">
        <f t="shared" si="56"/>
        <v>7.686365004</v>
      </c>
      <c r="F102" s="86">
        <f t="shared" si="56"/>
        <v>8.674641132</v>
      </c>
      <c r="G102" s="86">
        <f t="shared" si="56"/>
        <v>8.557950319</v>
      </c>
      <c r="H102" s="86">
        <f t="shared" si="56"/>
        <v>8.442829225</v>
      </c>
      <c r="I102" s="86">
        <f t="shared" si="56"/>
        <v>8.329256734</v>
      </c>
      <c r="J102" s="86">
        <f t="shared" si="56"/>
        <v>8.217212014</v>
      </c>
      <c r="K102" s="86">
        <f t="shared" si="56"/>
        <v>8.106674513</v>
      </c>
      <c r="L102" s="86">
        <f t="shared" si="56"/>
        <v>7.997623957</v>
      </c>
      <c r="M102" s="86">
        <f t="shared" si="56"/>
        <v>7.890040343</v>
      </c>
      <c r="N102" s="86">
        <f t="shared" si="56"/>
        <v>7.783903939</v>
      </c>
      <c r="O102" s="86">
        <f t="shared" si="56"/>
        <v>7.679195275</v>
      </c>
      <c r="P102" s="86">
        <f t="shared" si="56"/>
        <v>7.575895147</v>
      </c>
      <c r="Q102" s="86">
        <f t="shared" si="56"/>
        <v>7.473984607</v>
      </c>
      <c r="R102" s="86">
        <f t="shared" si="56"/>
        <v>7.373444962</v>
      </c>
      <c r="S102" s="86">
        <f t="shared" si="56"/>
        <v>7.274257772</v>
      </c>
      <c r="T102" s="86">
        <f t="shared" si="56"/>
        <v>7.274257772</v>
      </c>
      <c r="U102" s="86">
        <f t="shared" si="56"/>
        <v>7.274257772</v>
      </c>
      <c r="V102" s="86">
        <f t="shared" si="56"/>
        <v>7.274257772</v>
      </c>
      <c r="W102" s="86">
        <f t="shared" si="56"/>
        <v>7.274257772</v>
      </c>
      <c r="X102" s="86">
        <f t="shared" si="56"/>
        <v>7.274257772</v>
      </c>
      <c r="Y102" s="86">
        <f t="shared" si="56"/>
        <v>7.274257772</v>
      </c>
      <c r="Z102" s="87">
        <f t="shared" ref="Z102:Z104" si="57">SUM(B102:M102)</f>
        <v>90.74340612</v>
      </c>
      <c r="AA102" s="87">
        <f t="shared" ref="AA102:AA104" si="58">SUM(N102:Y102)</f>
        <v>88.80622833</v>
      </c>
    </row>
    <row r="103" outlineLevel="1">
      <c r="A103" s="6" t="s">
        <v>401</v>
      </c>
      <c r="B103" s="86">
        <f>Capacity!B73*'Rep capacity'!$D$28</f>
        <v>4.932740265</v>
      </c>
      <c r="C103" s="86">
        <f>Capacity!C73*'Rep capacity'!$D$28</f>
        <v>6.099570371</v>
      </c>
      <c r="D103" s="86">
        <f>Capacity!D73*'Rep capacity'!$D$28</f>
        <v>7.234115599</v>
      </c>
      <c r="E103" s="86">
        <f>Capacity!E73*'Rep capacity'!$D$28</f>
        <v>8.337033396</v>
      </c>
      <c r="F103" s="86">
        <f>Capacity!F73*'Rep capacity'!$D$28</f>
        <v>9.408969361</v>
      </c>
      <c r="G103" s="86">
        <f>Capacity!G73*'Rep capacity'!$D$28</f>
        <v>9.282400404</v>
      </c>
      <c r="H103" s="86">
        <f>Capacity!H73*'Rep capacity'!$D$28</f>
        <v>9.157534046</v>
      </c>
      <c r="I103" s="86">
        <f>Capacity!I73*'Rep capacity'!$D$28</f>
        <v>9.034347383</v>
      </c>
      <c r="J103" s="86">
        <f>Capacity!J73*'Rep capacity'!$D$28</f>
        <v>8.912817821</v>
      </c>
      <c r="K103" s="86">
        <f>Capacity!K73*'Rep capacity'!$D$28</f>
        <v>8.792923067</v>
      </c>
      <c r="L103" s="86">
        <f>Capacity!L73*'Rep capacity'!$D$28</f>
        <v>8.674641132</v>
      </c>
      <c r="M103" s="86">
        <f>Capacity!M73*'Rep capacity'!$D$28</f>
        <v>8.557950319</v>
      </c>
      <c r="N103" s="86">
        <f>Capacity!N73*'Rep capacity'!$D$28</f>
        <v>8.442829225</v>
      </c>
      <c r="O103" s="86">
        <f>Capacity!O73*'Rep capacity'!$D$28</f>
        <v>8.329256734</v>
      </c>
      <c r="P103" s="86">
        <f>Capacity!P73*'Rep capacity'!$D$28</f>
        <v>8.217212014</v>
      </c>
      <c r="Q103" s="86">
        <f>Capacity!Q73*'Rep capacity'!$D$28</f>
        <v>8.106674513</v>
      </c>
      <c r="R103" s="86">
        <f>Capacity!R73*'Rep capacity'!$D$28</f>
        <v>7.997623957</v>
      </c>
      <c r="S103" s="86">
        <f>Capacity!S73*'Rep capacity'!$D$28</f>
        <v>7.890040343</v>
      </c>
      <c r="T103" s="86">
        <f>Capacity!T73*'Rep capacity'!$D$28</f>
        <v>7.783903939</v>
      </c>
      <c r="U103" s="86">
        <f>Capacity!U73*'Rep capacity'!$D$28</f>
        <v>7.679195275</v>
      </c>
      <c r="V103" s="86">
        <f>Capacity!V73*'Rep capacity'!$D$28</f>
        <v>7.575895147</v>
      </c>
      <c r="W103" s="86">
        <f>Capacity!W73*'Rep capacity'!$D$28</f>
        <v>7.473984607</v>
      </c>
      <c r="X103" s="86">
        <f>Capacity!X73*'Rep capacity'!$D$28</f>
        <v>7.373444962</v>
      </c>
      <c r="Y103" s="86">
        <f>Capacity!Y73*'Rep capacity'!$D$28</f>
        <v>7.274257772</v>
      </c>
      <c r="Z103" s="87">
        <f t="shared" si="57"/>
        <v>98.42504316</v>
      </c>
      <c r="AA103" s="87">
        <f t="shared" si="58"/>
        <v>94.14431849</v>
      </c>
    </row>
    <row r="104" outlineLevel="1">
      <c r="A104" s="12" t="s">
        <v>402</v>
      </c>
      <c r="B104" s="87">
        <f t="shared" ref="B104:Y104" si="59">MIN(B102,B103)</f>
        <v>4.547761817</v>
      </c>
      <c r="C104" s="87">
        <f t="shared" si="59"/>
        <v>5.62352602</v>
      </c>
      <c r="D104" s="87">
        <f t="shared" si="59"/>
        <v>6.669525038</v>
      </c>
      <c r="E104" s="87">
        <f t="shared" si="59"/>
        <v>7.686365004</v>
      </c>
      <c r="F104" s="87">
        <f t="shared" si="59"/>
        <v>8.674641132</v>
      </c>
      <c r="G104" s="87">
        <f t="shared" si="59"/>
        <v>8.557950319</v>
      </c>
      <c r="H104" s="87">
        <f t="shared" si="59"/>
        <v>8.442829225</v>
      </c>
      <c r="I104" s="87">
        <f t="shared" si="59"/>
        <v>8.329256734</v>
      </c>
      <c r="J104" s="87">
        <f t="shared" si="59"/>
        <v>8.217212014</v>
      </c>
      <c r="K104" s="87">
        <f t="shared" si="59"/>
        <v>8.106674513</v>
      </c>
      <c r="L104" s="87">
        <f t="shared" si="59"/>
        <v>7.997623957</v>
      </c>
      <c r="M104" s="87">
        <f t="shared" si="59"/>
        <v>7.890040343</v>
      </c>
      <c r="N104" s="87">
        <f t="shared" si="59"/>
        <v>7.783903939</v>
      </c>
      <c r="O104" s="87">
        <f t="shared" si="59"/>
        <v>7.679195275</v>
      </c>
      <c r="P104" s="87">
        <f t="shared" si="59"/>
        <v>7.575895147</v>
      </c>
      <c r="Q104" s="87">
        <f t="shared" si="59"/>
        <v>7.473984607</v>
      </c>
      <c r="R104" s="87">
        <f t="shared" si="59"/>
        <v>7.373444962</v>
      </c>
      <c r="S104" s="87">
        <f t="shared" si="59"/>
        <v>7.274257772</v>
      </c>
      <c r="T104" s="87">
        <f t="shared" si="59"/>
        <v>7.274257772</v>
      </c>
      <c r="U104" s="87">
        <f t="shared" si="59"/>
        <v>7.274257772</v>
      </c>
      <c r="V104" s="87">
        <f t="shared" si="59"/>
        <v>7.274257772</v>
      </c>
      <c r="W104" s="87">
        <f t="shared" si="59"/>
        <v>7.274257772</v>
      </c>
      <c r="X104" s="87">
        <f t="shared" si="59"/>
        <v>7.274257772</v>
      </c>
      <c r="Y104" s="87">
        <f t="shared" si="59"/>
        <v>7.274257772</v>
      </c>
      <c r="Z104" s="87">
        <f t="shared" si="57"/>
        <v>90.74340612</v>
      </c>
      <c r="AA104" s="87">
        <f t="shared" si="58"/>
        <v>88.80622833</v>
      </c>
    </row>
    <row r="105" outlineLevel="1">
      <c r="A105" s="6" t="s">
        <v>403</v>
      </c>
      <c r="B105" s="86">
        <f t="shared" ref="B105:Y105" si="60">B102-B104</f>
        <v>0</v>
      </c>
      <c r="C105" s="86">
        <f t="shared" si="60"/>
        <v>0</v>
      </c>
      <c r="D105" s="86">
        <f t="shared" si="60"/>
        <v>0</v>
      </c>
      <c r="E105" s="86">
        <f t="shared" si="60"/>
        <v>0</v>
      </c>
      <c r="F105" s="86">
        <f t="shared" si="60"/>
        <v>0</v>
      </c>
      <c r="G105" s="86">
        <f t="shared" si="60"/>
        <v>0</v>
      </c>
      <c r="H105" s="86">
        <f t="shared" si="60"/>
        <v>0</v>
      </c>
      <c r="I105" s="86">
        <f t="shared" si="60"/>
        <v>0</v>
      </c>
      <c r="J105" s="86">
        <f t="shared" si="60"/>
        <v>0</v>
      </c>
      <c r="K105" s="86">
        <f t="shared" si="60"/>
        <v>0</v>
      </c>
      <c r="L105" s="86">
        <f t="shared" si="60"/>
        <v>0</v>
      </c>
      <c r="M105" s="86">
        <f t="shared" si="60"/>
        <v>0</v>
      </c>
      <c r="N105" s="86">
        <f t="shared" si="60"/>
        <v>0</v>
      </c>
      <c r="O105" s="86">
        <f t="shared" si="60"/>
        <v>0</v>
      </c>
      <c r="P105" s="86">
        <f t="shared" si="60"/>
        <v>0</v>
      </c>
      <c r="Q105" s="86">
        <f t="shared" si="60"/>
        <v>0</v>
      </c>
      <c r="R105" s="86">
        <f t="shared" si="60"/>
        <v>0</v>
      </c>
      <c r="S105" s="86">
        <f t="shared" si="60"/>
        <v>0</v>
      </c>
      <c r="T105" s="86">
        <f t="shared" si="60"/>
        <v>0</v>
      </c>
      <c r="U105" s="86">
        <f t="shared" si="60"/>
        <v>0</v>
      </c>
      <c r="V105" s="86">
        <f t="shared" si="60"/>
        <v>0</v>
      </c>
      <c r="W105" s="86">
        <f t="shared" si="60"/>
        <v>0</v>
      </c>
      <c r="X105" s="86">
        <f t="shared" si="60"/>
        <v>0</v>
      </c>
      <c r="Y105" s="86">
        <f t="shared" si="60"/>
        <v>0</v>
      </c>
      <c r="Z105" s="87">
        <f>M105</f>
        <v>0</v>
      </c>
      <c r="AA105" s="87">
        <f>Y105</f>
        <v>0</v>
      </c>
    </row>
    <row r="106" outlineLevel="1">
      <c r="A106" s="6" t="s">
        <v>404</v>
      </c>
      <c r="B106" s="88">
        <v>0.0</v>
      </c>
      <c r="C106" s="86">
        <f>B105*(1-Inputs!$G$42)</f>
        <v>0</v>
      </c>
      <c r="D106" s="86">
        <f>C105*(1-Inputs!$G$42)</f>
        <v>0</v>
      </c>
      <c r="E106" s="86">
        <f>D105*(1-Inputs!$G$42)</f>
        <v>0</v>
      </c>
      <c r="F106" s="86">
        <f>E105*(1-Inputs!$G$42)</f>
        <v>0</v>
      </c>
      <c r="G106" s="86">
        <f>F105*(1-Inputs!$G$42)</f>
        <v>0</v>
      </c>
      <c r="H106" s="86">
        <f>G105*(1-Inputs!$G$42)</f>
        <v>0</v>
      </c>
      <c r="I106" s="86">
        <f>H105*(1-Inputs!$G$42)</f>
        <v>0</v>
      </c>
      <c r="J106" s="86">
        <f>I105*(1-Inputs!$G$42)</f>
        <v>0</v>
      </c>
      <c r="K106" s="86">
        <f>J105*(1-Inputs!$G$42)</f>
        <v>0</v>
      </c>
      <c r="L106" s="86">
        <f>K105*(1-Inputs!$G$42)</f>
        <v>0</v>
      </c>
      <c r="M106" s="86">
        <f>L105*(1-Inputs!$G$42)</f>
        <v>0</v>
      </c>
      <c r="N106" s="86">
        <f>M105*(1-Inputs!$G$42)</f>
        <v>0</v>
      </c>
      <c r="O106" s="86">
        <f>N105*(1-Inputs!$G$42)</f>
        <v>0</v>
      </c>
      <c r="P106" s="86">
        <f>O105*(1-Inputs!$G$42)</f>
        <v>0</v>
      </c>
      <c r="Q106" s="86">
        <f>P105*(1-Inputs!$G$42)</f>
        <v>0</v>
      </c>
      <c r="R106" s="86">
        <f>Q105*(1-Inputs!$G$42)</f>
        <v>0</v>
      </c>
      <c r="S106" s="86">
        <f>R105*(1-Inputs!$G$42)</f>
        <v>0</v>
      </c>
      <c r="T106" s="86">
        <f>S105*(1-Inputs!$G$42)</f>
        <v>0</v>
      </c>
      <c r="U106" s="86">
        <f>T105*(1-Inputs!$G$42)</f>
        <v>0</v>
      </c>
      <c r="V106" s="86">
        <f>U105*(1-Inputs!$G$42)</f>
        <v>0</v>
      </c>
      <c r="W106" s="86">
        <f>V105*(1-Inputs!$G$42)</f>
        <v>0</v>
      </c>
      <c r="X106" s="86">
        <f>W105*(1-Inputs!$G$42)</f>
        <v>0</v>
      </c>
      <c r="Y106" s="86">
        <f>X105*(1-Inputs!$G$42)</f>
        <v>0</v>
      </c>
      <c r="Z106" s="87">
        <f t="shared" ref="Z106:Z118" si="61">SUM(B106:M106)</f>
        <v>0</v>
      </c>
      <c r="AA106" s="87">
        <f t="shared" ref="AA106:AA118" si="62">SUM(N106:Y106)</f>
        <v>0</v>
      </c>
    </row>
    <row r="107" outlineLevel="1">
      <c r="A107" s="6" t="s">
        <v>405</v>
      </c>
      <c r="B107" s="70">
        <f>B104*Inputs!$G$25</f>
        <v>682164.2725</v>
      </c>
      <c r="C107" s="70">
        <f>C104*Inputs!$G$25</f>
        <v>843528.903</v>
      </c>
      <c r="D107" s="70">
        <f>D104*Inputs!$G$25</f>
        <v>1000428.756</v>
      </c>
      <c r="E107" s="70">
        <f>E104*Inputs!$G$25</f>
        <v>1152954.751</v>
      </c>
      <c r="F107" s="70">
        <f>F104*Inputs!$G$25</f>
        <v>1301196.17</v>
      </c>
      <c r="G107" s="70">
        <f>G104*Inputs!$G$25</f>
        <v>1283692.548</v>
      </c>
      <c r="H107" s="70">
        <f>H104*Inputs!$G$25</f>
        <v>1266424.384</v>
      </c>
      <c r="I107" s="70">
        <f>I104*Inputs!$G$25</f>
        <v>1249388.51</v>
      </c>
      <c r="J107" s="70">
        <f>J104*Inputs!$G$25</f>
        <v>1232581.802</v>
      </c>
      <c r="K107" s="70">
        <f>K104*Inputs!$G$25</f>
        <v>1216001.177</v>
      </c>
      <c r="L107" s="70">
        <f>L104*Inputs!$G$25</f>
        <v>1199643.594</v>
      </c>
      <c r="M107" s="70">
        <f>M104*Inputs!$G$25</f>
        <v>1183506.051</v>
      </c>
      <c r="N107" s="70">
        <f>N104*Inputs!$G$25</f>
        <v>1167585.591</v>
      </c>
      <c r="O107" s="70">
        <f>O104*Inputs!$G$25</f>
        <v>1151879.291</v>
      </c>
      <c r="P107" s="70">
        <f>P104*Inputs!$G$25</f>
        <v>1136384.272</v>
      </c>
      <c r="Q107" s="70">
        <f>Q104*Inputs!$G$25</f>
        <v>1121097.691</v>
      </c>
      <c r="R107" s="70">
        <f>R104*Inputs!$G$25</f>
        <v>1106016.744</v>
      </c>
      <c r="S107" s="70">
        <f>S104*Inputs!$G$25</f>
        <v>1091138.666</v>
      </c>
      <c r="T107" s="70">
        <f>T104*Inputs!$G$25</f>
        <v>1091138.666</v>
      </c>
      <c r="U107" s="70">
        <f>U104*Inputs!$G$25</f>
        <v>1091138.666</v>
      </c>
      <c r="V107" s="70">
        <f>V104*Inputs!$G$25</f>
        <v>1091138.666</v>
      </c>
      <c r="W107" s="70">
        <f>W104*Inputs!$G$25</f>
        <v>1091138.666</v>
      </c>
      <c r="X107" s="70">
        <f>X104*Inputs!$G$25</f>
        <v>1091138.666</v>
      </c>
      <c r="Y107" s="70">
        <f>Y104*Inputs!$G$25</f>
        <v>1091138.666</v>
      </c>
      <c r="Z107" s="71">
        <f t="shared" si="61"/>
        <v>13611510.92</v>
      </c>
      <c r="AA107" s="71">
        <f t="shared" si="62"/>
        <v>13320934.25</v>
      </c>
    </row>
    <row r="108" outlineLevel="1">
      <c r="A108" s="6" t="s">
        <v>406</v>
      </c>
      <c r="B108" s="70">
        <f>IF(B$2&lt;=MAX(1,Inputs!$G$30),Inputs!$G$41/MAX(1,Inputs!$G$30),0)</f>
        <v>750000</v>
      </c>
      <c r="C108" s="70">
        <f>IF(C$2&lt;=MAX(1,Inputs!$G$30),Inputs!$G$41/MAX(1,Inputs!$G$30),0)</f>
        <v>750000</v>
      </c>
      <c r="D108" s="70">
        <f>IF(D$2&lt;=MAX(1,Inputs!$G$30),Inputs!$G$41/MAX(1,Inputs!$G$30),0)</f>
        <v>750000</v>
      </c>
      <c r="E108" s="70">
        <f>IF(E$2&lt;=MAX(1,Inputs!$G$30),Inputs!$G$41/MAX(1,Inputs!$G$30),0)</f>
        <v>750000</v>
      </c>
      <c r="F108" s="70">
        <f>IF(F$2&lt;=MAX(1,Inputs!$G$30),Inputs!$G$41/MAX(1,Inputs!$G$30),0)</f>
        <v>750000</v>
      </c>
      <c r="G108" s="70">
        <f>IF(G$2&lt;=MAX(1,Inputs!$G$30),Inputs!$G$41/MAX(1,Inputs!$G$30),0)</f>
        <v>750000</v>
      </c>
      <c r="H108" s="70">
        <f>IF(H$2&lt;=MAX(1,Inputs!$G$30),Inputs!$G$41/MAX(1,Inputs!$G$30),0)</f>
        <v>0</v>
      </c>
      <c r="I108" s="70">
        <f>IF(I$2&lt;=MAX(1,Inputs!$G$30),Inputs!$G$41/MAX(1,Inputs!$G$30),0)</f>
        <v>0</v>
      </c>
      <c r="J108" s="70">
        <f>IF(J$2&lt;=MAX(1,Inputs!$G$30),Inputs!$G$41/MAX(1,Inputs!$G$30),0)</f>
        <v>0</v>
      </c>
      <c r="K108" s="70">
        <f>IF(K$2&lt;=MAX(1,Inputs!$G$30),Inputs!$G$41/MAX(1,Inputs!$G$30),0)</f>
        <v>0</v>
      </c>
      <c r="L108" s="70">
        <f>IF(L$2&lt;=MAX(1,Inputs!$G$30),Inputs!$G$41/MAX(1,Inputs!$G$30),0)</f>
        <v>0</v>
      </c>
      <c r="M108" s="70">
        <f>IF(M$2&lt;=MAX(1,Inputs!$G$30),Inputs!$G$41/MAX(1,Inputs!$G$30),0)</f>
        <v>0</v>
      </c>
      <c r="N108" s="70">
        <f>IF(N$2&lt;=MAX(1,Inputs!$G$30),Inputs!$G$41/MAX(1,Inputs!$G$30),0)</f>
        <v>0</v>
      </c>
      <c r="O108" s="70">
        <f>IF(O$2&lt;=MAX(1,Inputs!$G$30),Inputs!$G$41/MAX(1,Inputs!$G$30),0)</f>
        <v>0</v>
      </c>
      <c r="P108" s="70">
        <f>IF(P$2&lt;=MAX(1,Inputs!$G$30),Inputs!$G$41/MAX(1,Inputs!$G$30),0)</f>
        <v>0</v>
      </c>
      <c r="Q108" s="70">
        <f>IF(Q$2&lt;=MAX(1,Inputs!$G$30),Inputs!$G$41/MAX(1,Inputs!$G$30),0)</f>
        <v>0</v>
      </c>
      <c r="R108" s="70">
        <f>IF(R$2&lt;=MAX(1,Inputs!$G$30),Inputs!$G$41/MAX(1,Inputs!$G$30),0)</f>
        <v>0</v>
      </c>
      <c r="S108" s="70">
        <f>IF(S$2&lt;=MAX(1,Inputs!$G$30),Inputs!$G$41/MAX(1,Inputs!$G$30),0)</f>
        <v>0</v>
      </c>
      <c r="T108" s="70">
        <f>IF(T$2&lt;=MAX(1,Inputs!$G$30),Inputs!$G$41/MAX(1,Inputs!$G$30),0)</f>
        <v>0</v>
      </c>
      <c r="U108" s="70">
        <f>IF(U$2&lt;=MAX(1,Inputs!$G$30),Inputs!$G$41/MAX(1,Inputs!$G$30),0)</f>
        <v>0</v>
      </c>
      <c r="V108" s="70">
        <f>IF(V$2&lt;=MAX(1,Inputs!$G$30),Inputs!$G$41/MAX(1,Inputs!$G$30),0)</f>
        <v>0</v>
      </c>
      <c r="W108" s="70">
        <f>IF(W$2&lt;=MAX(1,Inputs!$G$30),Inputs!$G$41/MAX(1,Inputs!$G$30),0)</f>
        <v>0</v>
      </c>
      <c r="X108" s="70">
        <f>IF(X$2&lt;=MAX(1,Inputs!$G$30),Inputs!$G$41/MAX(1,Inputs!$G$30),0)</f>
        <v>0</v>
      </c>
      <c r="Y108" s="70">
        <f>IF(Y$2&lt;=MAX(1,Inputs!$G$30),Inputs!$G$41/MAX(1,Inputs!$G$30),0)</f>
        <v>0</v>
      </c>
      <c r="Z108" s="71">
        <f t="shared" si="61"/>
        <v>4500000</v>
      </c>
      <c r="AA108" s="71">
        <f t="shared" si="62"/>
        <v>0</v>
      </c>
    </row>
    <row r="109" outlineLevel="1">
      <c r="A109" s="6" t="s">
        <v>407</v>
      </c>
      <c r="B109" s="70">
        <f>IF(Inputs!$G$24=0,0,Capacity!B78/Inputs!$G$24)</f>
        <v>0</v>
      </c>
      <c r="C109" s="70">
        <f>IF(Inputs!$G$24=0,0,Capacity!C78/Inputs!$G$24)</f>
        <v>0</v>
      </c>
      <c r="D109" s="70">
        <f>IF(Inputs!$G$24=0,0,Capacity!D78/Inputs!$G$24)</f>
        <v>0</v>
      </c>
      <c r="E109" s="70">
        <f>IF(Inputs!$G$24=0,0,Capacity!E78/Inputs!$G$24)</f>
        <v>0</v>
      </c>
      <c r="F109" s="70">
        <f>IF(Inputs!$G$24=0,0,Capacity!F78/Inputs!$G$24)</f>
        <v>0</v>
      </c>
      <c r="G109" s="70">
        <f>IF(Inputs!$G$24=0,0,Capacity!G78/Inputs!$G$24)</f>
        <v>0</v>
      </c>
      <c r="H109" s="70">
        <f>IF(Inputs!$G$24=0,0,Capacity!H78/Inputs!$G$24)</f>
        <v>0</v>
      </c>
      <c r="I109" s="70">
        <f>IF(Inputs!$G$24=0,0,Capacity!I78/Inputs!$G$24)</f>
        <v>0</v>
      </c>
      <c r="J109" s="70">
        <f>IF(Inputs!$G$24=0,0,Capacity!J78/Inputs!$G$24)</f>
        <v>0</v>
      </c>
      <c r="K109" s="70">
        <f>IF(Inputs!$G$24=0,0,Capacity!K78/Inputs!$G$24)</f>
        <v>0</v>
      </c>
      <c r="L109" s="70">
        <f>IF(Inputs!$G$24=0,0,Capacity!L78/Inputs!$G$24)</f>
        <v>0</v>
      </c>
      <c r="M109" s="70">
        <f>IF(Inputs!$G$24=0,0,Capacity!M78/Inputs!$G$24)</f>
        <v>0</v>
      </c>
      <c r="N109" s="70">
        <f>IF(Inputs!$G$24=0,0,Capacity!N78/Inputs!$G$24)</f>
        <v>0</v>
      </c>
      <c r="O109" s="70">
        <f>IF(Inputs!$G$24=0,0,Capacity!O78/Inputs!$G$24)</f>
        <v>0</v>
      </c>
      <c r="P109" s="70">
        <f>IF(Inputs!$G$24=0,0,Capacity!P78/Inputs!$G$24)</f>
        <v>0</v>
      </c>
      <c r="Q109" s="70">
        <f>IF(Inputs!$G$24=0,0,Capacity!Q78/Inputs!$G$24)</f>
        <v>0</v>
      </c>
      <c r="R109" s="70">
        <f>IF(Inputs!$G$24=0,0,Capacity!R78/Inputs!$G$24)</f>
        <v>0</v>
      </c>
      <c r="S109" s="70">
        <f>IF(Inputs!$G$24=0,0,Capacity!S78/Inputs!$G$24)</f>
        <v>0</v>
      </c>
      <c r="T109" s="70">
        <f>IF(Inputs!$G$24=0,0,Capacity!T78/Inputs!$G$24)</f>
        <v>0</v>
      </c>
      <c r="U109" s="70">
        <f>IF(Inputs!$G$24=0,0,Capacity!U78/Inputs!$G$24)</f>
        <v>0</v>
      </c>
      <c r="V109" s="70">
        <f>IF(Inputs!$G$24=0,0,Capacity!V78/Inputs!$G$24)</f>
        <v>0</v>
      </c>
      <c r="W109" s="70">
        <f>IF(Inputs!$G$24=0,0,Capacity!W78/Inputs!$G$24)</f>
        <v>0</v>
      </c>
      <c r="X109" s="70">
        <f>IF(Inputs!$G$24=0,0,Capacity!X78/Inputs!$G$24)</f>
        <v>0</v>
      </c>
      <c r="Y109" s="70">
        <f>IF(Inputs!$G$24=0,0,Capacity!Y78/Inputs!$G$24)</f>
        <v>0</v>
      </c>
      <c r="Z109" s="71">
        <f t="shared" si="61"/>
        <v>0</v>
      </c>
      <c r="AA109" s="71">
        <f t="shared" si="62"/>
        <v>0</v>
      </c>
    </row>
    <row r="110" outlineLevel="1">
      <c r="A110" s="6" t="s">
        <v>408</v>
      </c>
      <c r="B110" s="70">
        <f t="array" ref="B110">IF(B$2-Inputs!$G$30&lt;1,0,INDEX($B107:$Y107,1,B$2-Inputs!$G$30))+B108+B109</f>
        <v>750000</v>
      </c>
      <c r="C110" s="70">
        <f t="array" ref="C110">IF(C$2-Inputs!$G$30&lt;1,0,INDEX($B107:$Y107,1,C$2-Inputs!$G$30))+C108+C109</f>
        <v>750000</v>
      </c>
      <c r="D110" s="70">
        <f t="array" ref="D110">IF(D$2-Inputs!$G$30&lt;1,0,INDEX($B107:$Y107,1,D$2-Inputs!$G$30))+D108+D109</f>
        <v>750000</v>
      </c>
      <c r="E110" s="70">
        <f t="array" ref="E110">IF(E$2-Inputs!$G$30&lt;1,0,INDEX($B107:$Y107,1,E$2-Inputs!$G$30))+E108+E109</f>
        <v>750000</v>
      </c>
      <c r="F110" s="70">
        <f t="array" ref="F110">IF(F$2-Inputs!$G$30&lt;1,0,INDEX($B107:$Y107,1,F$2-Inputs!$G$30))+F108+F109</f>
        <v>750000</v>
      </c>
      <c r="G110" s="70">
        <f t="array" ref="G110">IF(G$2-Inputs!$G$30&lt;1,0,INDEX($B107:$Y107,1,G$2-Inputs!$G$30))+G108+G109</f>
        <v>750000</v>
      </c>
      <c r="H110" s="70">
        <f t="array" ref="H110">IF(H$2-Inputs!$G$30&lt;1,0,INDEX($B107:$Y107,1,H$2-Inputs!$G$30))+H108+H109</f>
        <v>682164.2725</v>
      </c>
      <c r="I110" s="70">
        <f t="array" ref="I110">IF(I$2-Inputs!$G$30&lt;1,0,INDEX($B107:$Y107,1,I$2-Inputs!$G$30))+I108+I109</f>
        <v>843528.903</v>
      </c>
      <c r="J110" s="70">
        <f t="array" ref="J110">IF(J$2-Inputs!$G$30&lt;1,0,INDEX($B107:$Y107,1,J$2-Inputs!$G$30))+J108+J109</f>
        <v>1000428.756</v>
      </c>
      <c r="K110" s="70">
        <f t="array" ref="K110">IF(K$2-Inputs!$G$30&lt;1,0,INDEX($B107:$Y107,1,K$2-Inputs!$G$30))+K108+K109</f>
        <v>1152954.751</v>
      </c>
      <c r="L110" s="70">
        <f t="array" ref="L110">IF(L$2-Inputs!$G$30&lt;1,0,INDEX($B107:$Y107,1,L$2-Inputs!$G$30))+L108+L109</f>
        <v>1301196.17</v>
      </c>
      <c r="M110" s="70">
        <f t="array" ref="M110">IF(M$2-Inputs!$G$30&lt;1,0,INDEX($B107:$Y107,1,M$2-Inputs!$G$30))+M108+M109</f>
        <v>1283692.548</v>
      </c>
      <c r="N110" s="70">
        <f t="array" ref="N110">IF(N$2-Inputs!$G$30&lt;1,0,INDEX($B107:$Y107,1,N$2-Inputs!$G$30))+N108+N109</f>
        <v>1266424.384</v>
      </c>
      <c r="O110" s="70">
        <f t="array" ref="O110">IF(O$2-Inputs!$G$30&lt;1,0,INDEX($B107:$Y107,1,O$2-Inputs!$G$30))+O108+O109</f>
        <v>1249388.51</v>
      </c>
      <c r="P110" s="70">
        <f t="array" ref="P110">IF(P$2-Inputs!$G$30&lt;1,0,INDEX($B107:$Y107,1,P$2-Inputs!$G$30))+P108+P109</f>
        <v>1232581.802</v>
      </c>
      <c r="Q110" s="70">
        <f t="array" ref="Q110">IF(Q$2-Inputs!$G$30&lt;1,0,INDEX($B107:$Y107,1,Q$2-Inputs!$G$30))+Q108+Q109</f>
        <v>1216001.177</v>
      </c>
      <c r="R110" s="70">
        <f t="array" ref="R110">IF(R$2-Inputs!$G$30&lt;1,0,INDEX($B107:$Y107,1,R$2-Inputs!$G$30))+R108+R109</f>
        <v>1199643.594</v>
      </c>
      <c r="S110" s="70">
        <f t="array" ref="S110">IF(S$2-Inputs!$G$30&lt;1,0,INDEX($B107:$Y107,1,S$2-Inputs!$G$30))+S108+S109</f>
        <v>1183506.051</v>
      </c>
      <c r="T110" s="70">
        <f t="array" ref="T110">IF(T$2-Inputs!$G$30&lt;1,0,INDEX($B107:$Y107,1,T$2-Inputs!$G$30))+T108+T109</f>
        <v>1167585.591</v>
      </c>
      <c r="U110" s="70">
        <f t="array" ref="U110">IF(U$2-Inputs!$G$30&lt;1,0,INDEX($B107:$Y107,1,U$2-Inputs!$G$30))+U108+U109</f>
        <v>1151879.291</v>
      </c>
      <c r="V110" s="70">
        <f t="array" ref="V110">IF(V$2-Inputs!$G$30&lt;1,0,INDEX($B107:$Y107,1,V$2-Inputs!$G$30))+V108+V109</f>
        <v>1136384.272</v>
      </c>
      <c r="W110" s="70">
        <f t="array" ref="W110">IF(W$2-Inputs!$G$30&lt;1,0,INDEX($B107:$Y107,1,W$2-Inputs!$G$30))+W108+W109</f>
        <v>1121097.691</v>
      </c>
      <c r="X110" s="70">
        <f t="array" ref="X110">IF(X$2-Inputs!$G$30&lt;1,0,INDEX($B107:$Y107,1,X$2-Inputs!$G$30))+X108+X109</f>
        <v>1106016.744</v>
      </c>
      <c r="Y110" s="70">
        <f t="array" ref="Y110">IF(Y$2-Inputs!$G$30&lt;1,0,INDEX($B107:$Y107,1,Y$2-Inputs!$G$30))+Y108+Y109</f>
        <v>1091138.666</v>
      </c>
      <c r="Z110" s="71">
        <f t="shared" si="61"/>
        <v>10763965.4</v>
      </c>
      <c r="AA110" s="71">
        <f t="shared" si="62"/>
        <v>14121647.77</v>
      </c>
    </row>
    <row r="111" outlineLevel="1">
      <c r="A111" s="6" t="s">
        <v>409</v>
      </c>
      <c r="B111" s="86">
        <f>IF(Inputs!$G$25=0,0,B110*Inputs!$G$24/Inputs!$G$25)</f>
        <v>1</v>
      </c>
      <c r="C111" s="86">
        <f>IF(Inputs!$G$25=0,0,C110*Inputs!$G$24/Inputs!$G$25)</f>
        <v>1</v>
      </c>
      <c r="D111" s="86">
        <f>IF(Inputs!$G$25=0,0,D110*Inputs!$G$24/Inputs!$G$25)</f>
        <v>1</v>
      </c>
      <c r="E111" s="86">
        <f>IF(Inputs!$G$25=0,0,E110*Inputs!$G$24/Inputs!$G$25)</f>
        <v>1</v>
      </c>
      <c r="F111" s="86">
        <f>IF(Inputs!$G$25=0,0,F110*Inputs!$G$24/Inputs!$G$25)</f>
        <v>1</v>
      </c>
      <c r="G111" s="86">
        <f>IF(Inputs!$G$25=0,0,G110*Inputs!$G$24/Inputs!$G$25)</f>
        <v>1</v>
      </c>
      <c r="H111" s="86">
        <f>IF(Inputs!$G$25=0,0,H110*Inputs!$G$24/Inputs!$G$25)</f>
        <v>0.9095523634</v>
      </c>
      <c r="I111" s="86">
        <f>IF(Inputs!$G$25=0,0,I110*Inputs!$G$24/Inputs!$G$25)</f>
        <v>1.124705204</v>
      </c>
      <c r="J111" s="86">
        <f>IF(Inputs!$G$25=0,0,J110*Inputs!$G$24/Inputs!$G$25)</f>
        <v>1.333905008</v>
      </c>
      <c r="K111" s="86">
        <f>IF(Inputs!$G$25=0,0,K110*Inputs!$G$24/Inputs!$G$25)</f>
        <v>1.537273001</v>
      </c>
      <c r="L111" s="86">
        <f>IF(Inputs!$G$25=0,0,L110*Inputs!$G$24/Inputs!$G$25)</f>
        <v>1.734928226</v>
      </c>
      <c r="M111" s="86">
        <f>IF(Inputs!$G$25=0,0,M110*Inputs!$G$24/Inputs!$G$25)</f>
        <v>1.711590064</v>
      </c>
      <c r="N111" s="86">
        <f>IF(Inputs!$G$25=0,0,N110*Inputs!$G$24/Inputs!$G$25)</f>
        <v>1.688565845</v>
      </c>
      <c r="O111" s="86">
        <f>IF(Inputs!$G$25=0,0,O110*Inputs!$G$24/Inputs!$G$25)</f>
        <v>1.665851347</v>
      </c>
      <c r="P111" s="86">
        <f>IF(Inputs!$G$25=0,0,P110*Inputs!$G$24/Inputs!$G$25)</f>
        <v>1.643442403</v>
      </c>
      <c r="Q111" s="86">
        <f>IF(Inputs!$G$25=0,0,Q110*Inputs!$G$24/Inputs!$G$25)</f>
        <v>1.621334903</v>
      </c>
      <c r="R111" s="86">
        <f>IF(Inputs!$G$25=0,0,R110*Inputs!$G$24/Inputs!$G$25)</f>
        <v>1.599524791</v>
      </c>
      <c r="S111" s="86">
        <f>IF(Inputs!$G$25=0,0,S110*Inputs!$G$24/Inputs!$G$25)</f>
        <v>1.578008069</v>
      </c>
      <c r="T111" s="86">
        <f>IF(Inputs!$G$25=0,0,T110*Inputs!$G$24/Inputs!$G$25)</f>
        <v>1.556780788</v>
      </c>
      <c r="U111" s="86">
        <f>IF(Inputs!$G$25=0,0,U110*Inputs!$G$24/Inputs!$G$25)</f>
        <v>1.535839055</v>
      </c>
      <c r="V111" s="86">
        <f>IF(Inputs!$G$25=0,0,V110*Inputs!$G$24/Inputs!$G$25)</f>
        <v>1.515179029</v>
      </c>
      <c r="W111" s="86">
        <f>IF(Inputs!$G$25=0,0,W110*Inputs!$G$24/Inputs!$G$25)</f>
        <v>1.494796921</v>
      </c>
      <c r="X111" s="86">
        <f>IF(Inputs!$G$25=0,0,X110*Inputs!$G$24/Inputs!$G$25)</f>
        <v>1.474688992</v>
      </c>
      <c r="Y111" s="86">
        <f>IF(Inputs!$G$25=0,0,Y110*Inputs!$G$24/Inputs!$G$25)</f>
        <v>1.454851554</v>
      </c>
      <c r="Z111" s="87">
        <f t="shared" si="61"/>
        <v>14.35195387</v>
      </c>
      <c r="AA111" s="87">
        <f t="shared" si="62"/>
        <v>18.8288637</v>
      </c>
    </row>
    <row r="112" outlineLevel="1">
      <c r="A112" s="6" t="s">
        <v>410</v>
      </c>
      <c r="B112" s="70">
        <f>B110*Inputs!$G$24</f>
        <v>150000</v>
      </c>
      <c r="C112" s="70">
        <f>C110*Inputs!$G$24</f>
        <v>150000</v>
      </c>
      <c r="D112" s="70">
        <f>D110*Inputs!$G$24</f>
        <v>150000</v>
      </c>
      <c r="E112" s="70">
        <f>E110*Inputs!$G$24</f>
        <v>150000</v>
      </c>
      <c r="F112" s="70">
        <f>F110*Inputs!$G$24</f>
        <v>150000</v>
      </c>
      <c r="G112" s="70">
        <f>G110*Inputs!$G$24</f>
        <v>150000</v>
      </c>
      <c r="H112" s="70">
        <f>H110*Inputs!$G$24</f>
        <v>136432.8545</v>
      </c>
      <c r="I112" s="70">
        <f>I110*Inputs!$G$24</f>
        <v>168705.7806</v>
      </c>
      <c r="J112" s="70">
        <f>J110*Inputs!$G$24</f>
        <v>200085.7511</v>
      </c>
      <c r="K112" s="70">
        <f>K110*Inputs!$G$24</f>
        <v>230590.9501</v>
      </c>
      <c r="L112" s="70">
        <f>L110*Inputs!$G$24</f>
        <v>260239.234</v>
      </c>
      <c r="M112" s="70">
        <f>M110*Inputs!$G$24</f>
        <v>256738.5096</v>
      </c>
      <c r="N112" s="70">
        <f>N110*Inputs!$G$24</f>
        <v>253284.8768</v>
      </c>
      <c r="O112" s="70">
        <f>O110*Inputs!$G$24</f>
        <v>249877.702</v>
      </c>
      <c r="P112" s="70">
        <f>P110*Inputs!$G$24</f>
        <v>246516.3604</v>
      </c>
      <c r="Q112" s="70">
        <f>Q110*Inputs!$G$24</f>
        <v>243200.2354</v>
      </c>
      <c r="R112" s="70">
        <f>R110*Inputs!$G$24</f>
        <v>239928.7187</v>
      </c>
      <c r="S112" s="70">
        <f>S110*Inputs!$G$24</f>
        <v>236701.2103</v>
      </c>
      <c r="T112" s="70">
        <f>T110*Inputs!$G$24</f>
        <v>233517.1182</v>
      </c>
      <c r="U112" s="70">
        <f>U110*Inputs!$G$24</f>
        <v>230375.8583</v>
      </c>
      <c r="V112" s="70">
        <f>V110*Inputs!$G$24</f>
        <v>227276.8544</v>
      </c>
      <c r="W112" s="70">
        <f>W110*Inputs!$G$24</f>
        <v>224219.5382</v>
      </c>
      <c r="X112" s="70">
        <f>X110*Inputs!$G$24</f>
        <v>221203.3489</v>
      </c>
      <c r="Y112" s="70">
        <f>Y110*Inputs!$G$24</f>
        <v>218227.7331</v>
      </c>
      <c r="Z112" s="71">
        <f t="shared" si="61"/>
        <v>2152793.08</v>
      </c>
      <c r="AA112" s="71">
        <f t="shared" si="62"/>
        <v>2824329.555</v>
      </c>
    </row>
    <row r="113" outlineLevel="1">
      <c r="A113" s="38" t="s">
        <v>411</v>
      </c>
      <c r="B113" s="77">
        <f>Capacity!B65</f>
        <v>147982.2079</v>
      </c>
      <c r="C113" s="77">
        <f>Capacity!C65</f>
        <v>145991.5591</v>
      </c>
      <c r="D113" s="77">
        <f>Capacity!D65</f>
        <v>144027.6884</v>
      </c>
      <c r="E113" s="77">
        <f>Capacity!E65</f>
        <v>142090.2356</v>
      </c>
      <c r="F113" s="77">
        <f>Capacity!F65</f>
        <v>140178.8453</v>
      </c>
      <c r="G113" s="77">
        <f>Capacity!G65</f>
        <v>138293.1669</v>
      </c>
      <c r="H113" s="77">
        <f>Capacity!H65</f>
        <v>136432.8545</v>
      </c>
      <c r="I113" s="77">
        <f>Capacity!I65</f>
        <v>168705.7806</v>
      </c>
      <c r="J113" s="77">
        <f>Capacity!J65</f>
        <v>200085.7511</v>
      </c>
      <c r="K113" s="77">
        <f>Capacity!K65</f>
        <v>230590.9501</v>
      </c>
      <c r="L113" s="77">
        <f>Capacity!L65</f>
        <v>260239.234</v>
      </c>
      <c r="M113" s="77">
        <f>Capacity!M65</f>
        <v>256738.5096</v>
      </c>
      <c r="N113" s="77">
        <f>Capacity!N65</f>
        <v>253284.8768</v>
      </c>
      <c r="O113" s="77">
        <f>Capacity!O65</f>
        <v>249877.702</v>
      </c>
      <c r="P113" s="77">
        <f>Capacity!P65</f>
        <v>246516.3604</v>
      </c>
      <c r="Q113" s="77">
        <f>Capacity!Q65</f>
        <v>243200.2354</v>
      </c>
      <c r="R113" s="77">
        <f>Capacity!R65</f>
        <v>239928.7187</v>
      </c>
      <c r="S113" s="77">
        <f>Capacity!S65</f>
        <v>236701.2103</v>
      </c>
      <c r="T113" s="77">
        <f>Capacity!T65</f>
        <v>233517.1182</v>
      </c>
      <c r="U113" s="77">
        <f>Capacity!U65</f>
        <v>230375.8583</v>
      </c>
      <c r="V113" s="77">
        <f>Capacity!V65</f>
        <v>227276.8544</v>
      </c>
      <c r="W113" s="77">
        <f>Capacity!W65</f>
        <v>224219.5382</v>
      </c>
      <c r="X113" s="77">
        <f>Capacity!X65</f>
        <v>221203.3489</v>
      </c>
      <c r="Y113" s="77">
        <f>Capacity!Y65</f>
        <v>218227.7331</v>
      </c>
      <c r="Z113" s="78">
        <f t="shared" si="61"/>
        <v>2111356.783</v>
      </c>
      <c r="AA113" s="78">
        <f t="shared" si="62"/>
        <v>2824329.555</v>
      </c>
    </row>
    <row r="114" outlineLevel="1">
      <c r="A114" s="6" t="s">
        <v>412</v>
      </c>
      <c r="B114" s="86">
        <f>IF(Inputs!$G$25=0,0,(B113-Capacity!B66)/Inputs!$G$25)</f>
        <v>0.986548053</v>
      </c>
      <c r="C114" s="86">
        <f>IF(Inputs!$G$25=0,0,(C113-Capacity!C66)/Inputs!$G$25)</f>
        <v>0.9732770609</v>
      </c>
      <c r="D114" s="86">
        <f>IF(Inputs!$G$25=0,0,(D113-Capacity!D66)/Inputs!$G$25)</f>
        <v>0.9601845894</v>
      </c>
      <c r="E114" s="86">
        <f>IF(Inputs!$G$25=0,0,(E113-Capacity!E66)/Inputs!$G$25)</f>
        <v>0.9472682372</v>
      </c>
      <c r="F114" s="86">
        <f>IF(Inputs!$G$25=0,0,(F113-Capacity!F66)/Inputs!$G$25)</f>
        <v>0.9345256351</v>
      </c>
      <c r="G114" s="86">
        <f>IF(Inputs!$G$25=0,0,(G113-Capacity!G66)/Inputs!$G$25)</f>
        <v>0.9219544457</v>
      </c>
      <c r="H114" s="86">
        <f>IF(Inputs!$G$25=0,0,(H113-Capacity!H66)/Inputs!$G$25)</f>
        <v>0.9095523634</v>
      </c>
      <c r="I114" s="86">
        <f>IF(Inputs!$G$25=0,0,(I113-Capacity!I66)/Inputs!$G$25)</f>
        <v>1.124705204</v>
      </c>
      <c r="J114" s="86">
        <f>IF(Inputs!$G$25=0,0,(J113-Capacity!J66)/Inputs!$G$25)</f>
        <v>1.333905008</v>
      </c>
      <c r="K114" s="86">
        <f>IF(Inputs!$G$25=0,0,(K113-Capacity!K66)/Inputs!$G$25)</f>
        <v>1.537273001</v>
      </c>
      <c r="L114" s="86">
        <f>IF(Inputs!$G$25=0,0,(L113-Capacity!L66)/Inputs!$G$25)</f>
        <v>1.734928226</v>
      </c>
      <c r="M114" s="86">
        <f>IF(Inputs!$G$25=0,0,(M113-Capacity!M66)/Inputs!$G$25)</f>
        <v>1.711590064</v>
      </c>
      <c r="N114" s="86">
        <f>IF(Inputs!$G$25=0,0,(N113-Capacity!N66)/Inputs!$G$25)</f>
        <v>1.688565845</v>
      </c>
      <c r="O114" s="86">
        <f>IF(Inputs!$G$25=0,0,(O113-Capacity!O66)/Inputs!$G$25)</f>
        <v>1.665851347</v>
      </c>
      <c r="P114" s="86">
        <f>IF(Inputs!$G$25=0,0,(P113-Capacity!P66)/Inputs!$G$25)</f>
        <v>1.643442403</v>
      </c>
      <c r="Q114" s="86">
        <f>IF(Inputs!$G$25=0,0,(Q113-Capacity!Q66)/Inputs!$G$25)</f>
        <v>1.621334903</v>
      </c>
      <c r="R114" s="86">
        <f>IF(Inputs!$G$25=0,0,(R113-Capacity!R66)/Inputs!$G$25)</f>
        <v>1.599524791</v>
      </c>
      <c r="S114" s="86">
        <f>IF(Inputs!$G$25=0,0,(S113-Capacity!S66)/Inputs!$G$25)</f>
        <v>1.578008069</v>
      </c>
      <c r="T114" s="86">
        <f>IF(Inputs!$G$25=0,0,(T113-Capacity!T66)/Inputs!$G$25)</f>
        <v>1.556780788</v>
      </c>
      <c r="U114" s="86">
        <f>IF(Inputs!$G$25=0,0,(U113-Capacity!U66)/Inputs!$G$25)</f>
        <v>1.535839055</v>
      </c>
      <c r="V114" s="86">
        <f>IF(Inputs!$G$25=0,0,(V113-Capacity!V66)/Inputs!$G$25)</f>
        <v>1.515179029</v>
      </c>
      <c r="W114" s="86">
        <f>IF(Inputs!$G$25=0,0,(W113-Capacity!W66)/Inputs!$G$25)</f>
        <v>1.494796921</v>
      </c>
      <c r="X114" s="86">
        <f>IF(Inputs!$G$25=0,0,(X113-Capacity!X66)/Inputs!$G$25)</f>
        <v>1.474688992</v>
      </c>
      <c r="Y114" s="86">
        <f>IF(Inputs!$G$25=0,0,(Y113-Capacity!Y66)/Inputs!$G$25)</f>
        <v>1.454851554</v>
      </c>
      <c r="Z114" s="87">
        <f t="shared" si="61"/>
        <v>14.07571189</v>
      </c>
      <c r="AA114" s="87">
        <f t="shared" si="62"/>
        <v>18.8288637</v>
      </c>
    </row>
    <row r="115" outlineLevel="1">
      <c r="A115" s="6" t="s">
        <v>413</v>
      </c>
      <c r="B115" s="86">
        <f>IF(Inputs!$G$24=0,0,B114/Inputs!$G$24)</f>
        <v>4.932740265</v>
      </c>
      <c r="C115" s="86">
        <f>IF(Inputs!$G$24=0,0,C114/Inputs!$G$24)</f>
        <v>4.866385304</v>
      </c>
      <c r="D115" s="86">
        <f>IF(Inputs!$G$24=0,0,D114/Inputs!$G$24)</f>
        <v>4.800922947</v>
      </c>
      <c r="E115" s="86">
        <f>IF(Inputs!$G$24=0,0,E114/Inputs!$G$24)</f>
        <v>4.736341186</v>
      </c>
      <c r="F115" s="86">
        <f>IF(Inputs!$G$24=0,0,F114/Inputs!$G$24)</f>
        <v>4.672628175</v>
      </c>
      <c r="G115" s="86">
        <f>IF(Inputs!$G$24=0,0,G114/Inputs!$G$24)</f>
        <v>4.609772229</v>
      </c>
      <c r="H115" s="86">
        <f>IF(Inputs!$G$24=0,0,H114/Inputs!$G$24)</f>
        <v>4.547761817</v>
      </c>
      <c r="I115" s="86">
        <f>IF(Inputs!$G$24=0,0,I114/Inputs!$G$24)</f>
        <v>5.62352602</v>
      </c>
      <c r="J115" s="86">
        <f>IF(Inputs!$G$24=0,0,J114/Inputs!$G$24)</f>
        <v>6.669525038</v>
      </c>
      <c r="K115" s="86">
        <f>IF(Inputs!$G$24=0,0,K114/Inputs!$G$24)</f>
        <v>7.686365004</v>
      </c>
      <c r="L115" s="86">
        <f>IF(Inputs!$G$24=0,0,L114/Inputs!$G$24)</f>
        <v>8.674641132</v>
      </c>
      <c r="M115" s="86">
        <f>IF(Inputs!$G$24=0,0,M114/Inputs!$G$24)</f>
        <v>8.557950319</v>
      </c>
      <c r="N115" s="86">
        <f>IF(Inputs!$G$24=0,0,N114/Inputs!$G$24)</f>
        <v>8.442829225</v>
      </c>
      <c r="O115" s="86">
        <f>IF(Inputs!$G$24=0,0,O114/Inputs!$G$24)</f>
        <v>8.329256734</v>
      </c>
      <c r="P115" s="86">
        <f>IF(Inputs!$G$24=0,0,P114/Inputs!$G$24)</f>
        <v>8.217212014</v>
      </c>
      <c r="Q115" s="86">
        <f>IF(Inputs!$G$24=0,0,Q114/Inputs!$G$24)</f>
        <v>8.106674513</v>
      </c>
      <c r="R115" s="86">
        <f>IF(Inputs!$G$24=0,0,R114/Inputs!$G$24)</f>
        <v>7.997623957</v>
      </c>
      <c r="S115" s="86">
        <f>IF(Inputs!$G$24=0,0,S114/Inputs!$G$24)</f>
        <v>7.890040343</v>
      </c>
      <c r="T115" s="86">
        <f>IF(Inputs!$G$24=0,0,T114/Inputs!$G$24)</f>
        <v>7.783903939</v>
      </c>
      <c r="U115" s="86">
        <f>IF(Inputs!$G$24=0,0,U114/Inputs!$G$24)</f>
        <v>7.679195275</v>
      </c>
      <c r="V115" s="86">
        <f>IF(Inputs!$G$24=0,0,V114/Inputs!$G$24)</f>
        <v>7.575895147</v>
      </c>
      <c r="W115" s="86">
        <f>IF(Inputs!$G$24=0,0,W114/Inputs!$G$24)</f>
        <v>7.473984607</v>
      </c>
      <c r="X115" s="86">
        <f>IF(Inputs!$G$24=0,0,X114/Inputs!$G$24)</f>
        <v>7.373444962</v>
      </c>
      <c r="Y115" s="86">
        <f>IF(Inputs!$G$24=0,0,Y114/Inputs!$G$24)</f>
        <v>7.274257772</v>
      </c>
      <c r="Z115" s="87">
        <f t="shared" si="61"/>
        <v>70.37855944</v>
      </c>
      <c r="AA115" s="87">
        <f t="shared" si="62"/>
        <v>94.14431849</v>
      </c>
    </row>
    <row r="116" outlineLevel="1">
      <c r="A116" s="12" t="s">
        <v>414</v>
      </c>
      <c r="B116" s="87">
        <f t="array" ref="B116">IF(B$2+Inputs!$G$30&gt;24,"",INDEX($B115:$Y115,1,B$2+Inputs!$G$30))</f>
        <v>4.547761817</v>
      </c>
      <c r="C116" s="87">
        <f t="array" ref="C116">IF(C$2+Inputs!$G$30&gt;24,"",INDEX($B115:$Y115,1,C$2+Inputs!$G$30))</f>
        <v>5.62352602</v>
      </c>
      <c r="D116" s="87">
        <f t="array" ref="D116">IF(D$2+Inputs!$G$30&gt;24,"",INDEX($B115:$Y115,1,D$2+Inputs!$G$30))</f>
        <v>6.669525038</v>
      </c>
      <c r="E116" s="87">
        <f t="array" ref="E116">IF(E$2+Inputs!$G$30&gt;24,"",INDEX($B115:$Y115,1,E$2+Inputs!$G$30))</f>
        <v>7.686365004</v>
      </c>
      <c r="F116" s="87">
        <f t="array" ref="F116">IF(F$2+Inputs!$G$30&gt;24,"",INDEX($B115:$Y115,1,F$2+Inputs!$G$30))</f>
        <v>8.674641132</v>
      </c>
      <c r="G116" s="87">
        <f t="array" ref="G116">IF(G$2+Inputs!$G$30&gt;24,"",INDEX($B115:$Y115,1,G$2+Inputs!$G$30))</f>
        <v>8.557950319</v>
      </c>
      <c r="H116" s="87">
        <f t="array" ref="H116">IF(H$2+Inputs!$G$30&gt;24,"",INDEX($B115:$Y115,1,H$2+Inputs!$G$30))</f>
        <v>8.442829225</v>
      </c>
      <c r="I116" s="87">
        <f t="array" ref="I116">IF(I$2+Inputs!$G$30&gt;24,"",INDEX($B115:$Y115,1,I$2+Inputs!$G$30))</f>
        <v>8.329256734</v>
      </c>
      <c r="J116" s="87">
        <f t="array" ref="J116">IF(J$2+Inputs!$G$30&gt;24,"",INDEX($B115:$Y115,1,J$2+Inputs!$G$30))</f>
        <v>8.217212014</v>
      </c>
      <c r="K116" s="87">
        <f t="array" ref="K116">IF(K$2+Inputs!$G$30&gt;24,"",INDEX($B115:$Y115,1,K$2+Inputs!$G$30))</f>
        <v>8.106674513</v>
      </c>
      <c r="L116" s="87">
        <f t="array" ref="L116">IF(L$2+Inputs!$G$30&gt;24,"",INDEX($B115:$Y115,1,L$2+Inputs!$G$30))</f>
        <v>7.997623957</v>
      </c>
      <c r="M116" s="87">
        <f t="array" ref="M116">IF(M$2+Inputs!$G$30&gt;24,"",INDEX($B115:$Y115,1,M$2+Inputs!$G$30))</f>
        <v>7.890040343</v>
      </c>
      <c r="N116" s="87">
        <f t="array" ref="N116">IF(N$2+Inputs!$G$30&gt;24,"",INDEX($B115:$Y115,1,N$2+Inputs!$G$30))</f>
        <v>7.783903939</v>
      </c>
      <c r="O116" s="87">
        <f t="array" ref="O116">IF(O$2+Inputs!$G$30&gt;24,"",INDEX($B115:$Y115,1,O$2+Inputs!$G$30))</f>
        <v>7.679195275</v>
      </c>
      <c r="P116" s="87">
        <f t="array" ref="P116">IF(P$2+Inputs!$G$30&gt;24,"",INDEX($B115:$Y115,1,P$2+Inputs!$G$30))</f>
        <v>7.575895147</v>
      </c>
      <c r="Q116" s="87">
        <f t="array" ref="Q116">IF(Q$2+Inputs!$G$30&gt;24,"",INDEX($B115:$Y115,1,Q$2+Inputs!$G$30))</f>
        <v>7.473984607</v>
      </c>
      <c r="R116" s="87">
        <f t="array" ref="R116">IF(R$2+Inputs!$G$30&gt;24,"",INDEX($B115:$Y115,1,R$2+Inputs!$G$30))</f>
        <v>7.373444962</v>
      </c>
      <c r="S116" s="87">
        <f t="array" ref="S116">IF(S$2+Inputs!$G$30&gt;24,"",INDEX($B115:$Y115,1,S$2+Inputs!$G$30))</f>
        <v>7.274257772</v>
      </c>
      <c r="T116" s="87" t="str">
        <f t="array" ref="T116">IF(T$2+Inputs!$G$30&gt;24,"",INDEX($B115:$Y115,1,T$2+Inputs!$G$30))</f>
        <v/>
      </c>
      <c r="U116" s="87" t="str">
        <f t="array" ref="U116">IF(U$2+Inputs!$G$30&gt;24,"",INDEX($B115:$Y115,1,U$2+Inputs!$G$30))</f>
        <v/>
      </c>
      <c r="V116" s="87" t="str">
        <f t="array" ref="V116">IF(V$2+Inputs!$G$30&gt;24,"",INDEX($B115:$Y115,1,V$2+Inputs!$G$30))</f>
        <v/>
      </c>
      <c r="W116" s="87" t="str">
        <f t="array" ref="W116">IF(W$2+Inputs!$G$30&gt;24,"",INDEX($B115:$Y115,1,W$2+Inputs!$G$30))</f>
        <v/>
      </c>
      <c r="X116" s="87" t="str">
        <f t="array" ref="X116">IF(X$2+Inputs!$G$30&gt;24,"",INDEX($B115:$Y115,1,X$2+Inputs!$G$30))</f>
        <v/>
      </c>
      <c r="Y116" s="87" t="str">
        <f t="array" ref="Y116">IF(Y$2+Inputs!$G$30&gt;24,"",INDEX($B115:$Y115,1,Y$2+Inputs!$G$30))</f>
        <v/>
      </c>
      <c r="Z116" s="87">
        <f t="shared" si="61"/>
        <v>90.74340612</v>
      </c>
      <c r="AA116" s="87">
        <f t="shared" si="62"/>
        <v>45.1606817</v>
      </c>
    </row>
    <row r="117" outlineLevel="1">
      <c r="A117" s="6" t="s">
        <v>415</v>
      </c>
      <c r="B117" s="70">
        <f>IF(B116="","",B116*Inputs!$G$25)</f>
        <v>682164.2725</v>
      </c>
      <c r="C117" s="70">
        <f>IF(C116="","",C116*Inputs!$G$25)</f>
        <v>843528.903</v>
      </c>
      <c r="D117" s="70">
        <f>IF(D116="","",D116*Inputs!$G$25)</f>
        <v>1000428.756</v>
      </c>
      <c r="E117" s="70">
        <f>IF(E116="","",E116*Inputs!$G$25)</f>
        <v>1152954.751</v>
      </c>
      <c r="F117" s="70">
        <f>IF(F116="","",F116*Inputs!$G$25)</f>
        <v>1301196.17</v>
      </c>
      <c r="G117" s="70">
        <f>IF(G116="","",G116*Inputs!$G$25)</f>
        <v>1283692.548</v>
      </c>
      <c r="H117" s="70">
        <f>IF(H116="","",H116*Inputs!$G$25)</f>
        <v>1266424.384</v>
      </c>
      <c r="I117" s="70">
        <f>IF(I116="","",I116*Inputs!$G$25)</f>
        <v>1249388.51</v>
      </c>
      <c r="J117" s="70">
        <f>IF(J116="","",J116*Inputs!$G$25)</f>
        <v>1232581.802</v>
      </c>
      <c r="K117" s="70">
        <f>IF(K116="","",K116*Inputs!$G$25)</f>
        <v>1216001.177</v>
      </c>
      <c r="L117" s="70">
        <f>IF(L116="","",L116*Inputs!$G$25)</f>
        <v>1199643.594</v>
      </c>
      <c r="M117" s="70">
        <f>IF(M116="","",M116*Inputs!$G$25)</f>
        <v>1183506.051</v>
      </c>
      <c r="N117" s="70">
        <f>IF(N116="","",N116*Inputs!$G$25)</f>
        <v>1167585.591</v>
      </c>
      <c r="O117" s="70">
        <f>IF(O116="","",O116*Inputs!$G$25)</f>
        <v>1151879.291</v>
      </c>
      <c r="P117" s="70">
        <f>IF(P116="","",P116*Inputs!$G$25)</f>
        <v>1136384.272</v>
      </c>
      <c r="Q117" s="70">
        <f>IF(Q116="","",Q116*Inputs!$G$25)</f>
        <v>1121097.691</v>
      </c>
      <c r="R117" s="70">
        <f>IF(R116="","",R116*Inputs!$G$25)</f>
        <v>1106016.744</v>
      </c>
      <c r="S117" s="70">
        <f>IF(S116="","",S116*Inputs!$G$25)</f>
        <v>1091138.666</v>
      </c>
      <c r="T117" s="70" t="str">
        <f>IF(T116="","",T116*Inputs!$G$25)</f>
        <v/>
      </c>
      <c r="U117" s="70" t="str">
        <f>IF(U116="","",U116*Inputs!$G$25)</f>
        <v/>
      </c>
      <c r="V117" s="70" t="str">
        <f>IF(V116="","",V116*Inputs!$G$25)</f>
        <v/>
      </c>
      <c r="W117" s="70" t="str">
        <f>IF(W116="","",W116*Inputs!$G$25)</f>
        <v/>
      </c>
      <c r="X117" s="70" t="str">
        <f>IF(X116="","",X116*Inputs!$G$25)</f>
        <v/>
      </c>
      <c r="Y117" s="70" t="str">
        <f>IF(Y116="","",Y116*Inputs!$G$25)</f>
        <v/>
      </c>
      <c r="Z117" s="71">
        <f t="shared" si="61"/>
        <v>13611510.92</v>
      </c>
      <c r="AA117" s="71">
        <f t="shared" si="62"/>
        <v>6774102.255</v>
      </c>
    </row>
    <row r="118" outlineLevel="1">
      <c r="A118" s="6" t="s">
        <v>416</v>
      </c>
      <c r="B118" s="86">
        <f>IF(OR(B116="",Inputs!$G$38*Inputs!$G$39=0),"",B116/(Inputs!$G$38*Inputs!$G$39))</f>
        <v>50.53068685</v>
      </c>
      <c r="C118" s="86">
        <f>IF(OR(C116="",Inputs!$G$38*Inputs!$G$39=0),"",C116/(Inputs!$G$38*Inputs!$G$39))</f>
        <v>62.48362245</v>
      </c>
      <c r="D118" s="86">
        <f>IF(OR(D116="",Inputs!$G$38*Inputs!$G$39=0),"",D116/(Inputs!$G$38*Inputs!$G$39))</f>
        <v>74.10583375</v>
      </c>
      <c r="E118" s="86">
        <f>IF(OR(E116="",Inputs!$G$38*Inputs!$G$39=0),"",E116/(Inputs!$G$38*Inputs!$G$39))</f>
        <v>85.4040556</v>
      </c>
      <c r="F118" s="86">
        <f>IF(OR(F116="",Inputs!$G$38*Inputs!$G$39=0),"",F116/(Inputs!$G$38*Inputs!$G$39))</f>
        <v>96.38490147</v>
      </c>
      <c r="G118" s="86">
        <f>IF(OR(G116="",Inputs!$G$38*Inputs!$G$39=0),"",G116/(Inputs!$G$38*Inputs!$G$39))</f>
        <v>95.08833688</v>
      </c>
      <c r="H118" s="86">
        <f>IF(OR(H116="",Inputs!$G$38*Inputs!$G$39=0),"",H116/(Inputs!$G$38*Inputs!$G$39))</f>
        <v>93.80921361</v>
      </c>
      <c r="I118" s="86">
        <f>IF(OR(I116="",Inputs!$G$38*Inputs!$G$39=0),"",I116/(Inputs!$G$38*Inputs!$G$39))</f>
        <v>92.54729704</v>
      </c>
      <c r="J118" s="86">
        <f>IF(OR(J116="",Inputs!$G$38*Inputs!$G$39=0),"",J116/(Inputs!$G$38*Inputs!$G$39))</f>
        <v>91.30235571</v>
      </c>
      <c r="K118" s="86">
        <f>IF(OR(K116="",Inputs!$G$38*Inputs!$G$39=0),"",K116/(Inputs!$G$38*Inputs!$G$39))</f>
        <v>90.07416126</v>
      </c>
      <c r="L118" s="86">
        <f>IF(OR(L116="",Inputs!$G$38*Inputs!$G$39=0),"",L116/(Inputs!$G$38*Inputs!$G$39))</f>
        <v>88.86248841</v>
      </c>
      <c r="M118" s="86">
        <f>IF(OR(M116="",Inputs!$G$38*Inputs!$G$39=0),"",M116/(Inputs!$G$38*Inputs!$G$39))</f>
        <v>87.66711493</v>
      </c>
      <c r="N118" s="86">
        <f>IF(OR(N116="",Inputs!$G$38*Inputs!$G$39=0),"",N116/(Inputs!$G$38*Inputs!$G$39))</f>
        <v>86.48782154</v>
      </c>
      <c r="O118" s="86">
        <f>IF(OR(O116="",Inputs!$G$38*Inputs!$G$39=0),"",O116/(Inputs!$G$38*Inputs!$G$39))</f>
        <v>85.32439195</v>
      </c>
      <c r="P118" s="86">
        <f>IF(OR(P116="",Inputs!$G$38*Inputs!$G$39=0),"",P116/(Inputs!$G$38*Inputs!$G$39))</f>
        <v>84.17661275</v>
      </c>
      <c r="Q118" s="86">
        <f>IF(OR(Q116="",Inputs!$G$38*Inputs!$G$39=0),"",Q116/(Inputs!$G$38*Inputs!$G$39))</f>
        <v>83.04427341</v>
      </c>
      <c r="R118" s="86">
        <f>IF(OR(R116="",Inputs!$G$38*Inputs!$G$39=0),"",R116/(Inputs!$G$38*Inputs!$G$39))</f>
        <v>81.92716625</v>
      </c>
      <c r="S118" s="86">
        <f>IF(OR(S116="",Inputs!$G$38*Inputs!$G$39=0),"",S116/(Inputs!$G$38*Inputs!$G$39))</f>
        <v>80.82508635</v>
      </c>
      <c r="T118" s="86" t="str">
        <f>IF(OR(T116="",Inputs!$G$38*Inputs!$G$39=0),"",T116/(Inputs!$G$38*Inputs!$G$39))</f>
        <v/>
      </c>
      <c r="U118" s="86" t="str">
        <f>IF(OR(U116="",Inputs!$G$38*Inputs!$G$39=0),"",U116/(Inputs!$G$38*Inputs!$G$39))</f>
        <v/>
      </c>
      <c r="V118" s="86" t="str">
        <f>IF(OR(V116="",Inputs!$G$38*Inputs!$G$39=0),"",V116/(Inputs!$G$38*Inputs!$G$39))</f>
        <v/>
      </c>
      <c r="W118" s="86" t="str">
        <f>IF(OR(W116="",Inputs!$G$38*Inputs!$G$39=0),"",W116/(Inputs!$G$38*Inputs!$G$39))</f>
        <v/>
      </c>
      <c r="X118" s="86" t="str">
        <f>IF(OR(X116="",Inputs!$G$38*Inputs!$G$39=0),"",X116/(Inputs!$G$38*Inputs!$G$39))</f>
        <v/>
      </c>
      <c r="Y118" s="86" t="str">
        <f>IF(OR(Y116="",Inputs!$G$38*Inputs!$G$39=0),"",Y116/(Inputs!$G$38*Inputs!$G$39))</f>
        <v/>
      </c>
      <c r="Z118" s="87">
        <f t="shared" si="61"/>
        <v>1008.260068</v>
      </c>
      <c r="AA118" s="87">
        <f t="shared" si="62"/>
        <v>501.7853523</v>
      </c>
    </row>
    <row r="119" outlineLevel="1">
      <c r="A119" s="38" t="s">
        <v>417</v>
      </c>
      <c r="B119" s="89">
        <f t="shared" ref="B119:Y119" si="63">IF(B113=0,"",B110/B113)</f>
        <v>5.068176846</v>
      </c>
      <c r="C119" s="89">
        <f t="shared" si="63"/>
        <v>5.137283309</v>
      </c>
      <c r="D119" s="89">
        <f t="shared" si="63"/>
        <v>5.207332064</v>
      </c>
      <c r="E119" s="89">
        <f t="shared" si="63"/>
        <v>5.27833596</v>
      </c>
      <c r="F119" s="89">
        <f t="shared" si="63"/>
        <v>5.35030802</v>
      </c>
      <c r="G119" s="89">
        <f t="shared" si="63"/>
        <v>5.423261445</v>
      </c>
      <c r="H119" s="89">
        <f t="shared" si="63"/>
        <v>5</v>
      </c>
      <c r="I119" s="89">
        <f t="shared" si="63"/>
        <v>5</v>
      </c>
      <c r="J119" s="89">
        <f t="shared" si="63"/>
        <v>5</v>
      </c>
      <c r="K119" s="89">
        <f t="shared" si="63"/>
        <v>5</v>
      </c>
      <c r="L119" s="89">
        <f t="shared" si="63"/>
        <v>5</v>
      </c>
      <c r="M119" s="89">
        <f t="shared" si="63"/>
        <v>5</v>
      </c>
      <c r="N119" s="89">
        <f t="shared" si="63"/>
        <v>5</v>
      </c>
      <c r="O119" s="89">
        <f t="shared" si="63"/>
        <v>5</v>
      </c>
      <c r="P119" s="89">
        <f t="shared" si="63"/>
        <v>5</v>
      </c>
      <c r="Q119" s="89">
        <f t="shared" si="63"/>
        <v>5</v>
      </c>
      <c r="R119" s="89">
        <f t="shared" si="63"/>
        <v>5</v>
      </c>
      <c r="S119" s="89">
        <f t="shared" si="63"/>
        <v>5</v>
      </c>
      <c r="T119" s="89">
        <f t="shared" si="63"/>
        <v>5</v>
      </c>
      <c r="U119" s="89">
        <f t="shared" si="63"/>
        <v>5</v>
      </c>
      <c r="V119" s="89">
        <f t="shared" si="63"/>
        <v>5</v>
      </c>
      <c r="W119" s="89">
        <f t="shared" si="63"/>
        <v>5</v>
      </c>
      <c r="X119" s="89">
        <f t="shared" si="63"/>
        <v>5</v>
      </c>
      <c r="Y119" s="89">
        <f t="shared" si="63"/>
        <v>5</v>
      </c>
      <c r="Z119" s="90">
        <f>IF(SUM(B113:M113)=0,"",SUM(B110:M110)/SUM(B113:M113))</f>
        <v>5.098127179</v>
      </c>
      <c r="AA119" s="90">
        <f>IF(SUM(N113:Y113)=0,"",SUM(N110:Y110)/SUM(N113:Y113))</f>
        <v>5</v>
      </c>
    </row>
    <row r="120" outlineLevel="1">
      <c r="A120" s="6" t="s">
        <v>392</v>
      </c>
      <c r="B120" s="85">
        <f t="shared" ref="B120:Y120" si="64">IF(B113=0,"",B112/B113)</f>
        <v>1.013635369</v>
      </c>
      <c r="C120" s="85">
        <f t="shared" si="64"/>
        <v>1.027456662</v>
      </c>
      <c r="D120" s="85">
        <f t="shared" si="64"/>
        <v>1.041466413</v>
      </c>
      <c r="E120" s="85">
        <f t="shared" si="64"/>
        <v>1.055667192</v>
      </c>
      <c r="F120" s="85">
        <f t="shared" si="64"/>
        <v>1.070061604</v>
      </c>
      <c r="G120" s="85">
        <f t="shared" si="64"/>
        <v>1.084652289</v>
      </c>
      <c r="H120" s="85">
        <f t="shared" si="64"/>
        <v>1</v>
      </c>
      <c r="I120" s="85">
        <f t="shared" si="64"/>
        <v>1</v>
      </c>
      <c r="J120" s="85">
        <f t="shared" si="64"/>
        <v>1</v>
      </c>
      <c r="K120" s="85">
        <f t="shared" si="64"/>
        <v>1</v>
      </c>
      <c r="L120" s="85">
        <f t="shared" si="64"/>
        <v>1</v>
      </c>
      <c r="M120" s="85">
        <f t="shared" si="64"/>
        <v>1</v>
      </c>
      <c r="N120" s="85">
        <f t="shared" si="64"/>
        <v>1</v>
      </c>
      <c r="O120" s="85">
        <f t="shared" si="64"/>
        <v>1</v>
      </c>
      <c r="P120" s="85">
        <f t="shared" si="64"/>
        <v>1</v>
      </c>
      <c r="Q120" s="85">
        <f t="shared" si="64"/>
        <v>1</v>
      </c>
      <c r="R120" s="85">
        <f t="shared" si="64"/>
        <v>1</v>
      </c>
      <c r="S120" s="85">
        <f t="shared" si="64"/>
        <v>1</v>
      </c>
      <c r="T120" s="85">
        <f t="shared" si="64"/>
        <v>1</v>
      </c>
      <c r="U120" s="85">
        <f t="shared" si="64"/>
        <v>1</v>
      </c>
      <c r="V120" s="85">
        <f t="shared" si="64"/>
        <v>1</v>
      </c>
      <c r="W120" s="85">
        <f t="shared" si="64"/>
        <v>1</v>
      </c>
      <c r="X120" s="85">
        <f t="shared" si="64"/>
        <v>1</v>
      </c>
      <c r="Y120" s="85">
        <f t="shared" si="64"/>
        <v>1</v>
      </c>
      <c r="Z120" s="84">
        <f>IF(SUM(B113:M113)=0,"",SUM(B112:M112)/SUM(B113:M113))</f>
        <v>1.019625436</v>
      </c>
      <c r="AA120" s="84">
        <f>IF(SUM(N113:Y113)=0,"",SUM(N112:Y112)/SUM(N113:Y113))</f>
        <v>1</v>
      </c>
    </row>
    <row r="121" outlineLevel="1">
      <c r="A121" s="6" t="s">
        <v>418</v>
      </c>
      <c r="B121" s="86">
        <f>IF(Capacity!B73=0,"",B102/Capacity!B73)</f>
        <v>2.304886114</v>
      </c>
      <c r="C121" s="86">
        <f>IF(Capacity!C73=0,"",C102/Capacity!C73)</f>
        <v>2.304886114</v>
      </c>
      <c r="D121" s="86">
        <f>IF(Capacity!D73=0,"",D102/Capacity!D73)</f>
        <v>2.304886114</v>
      </c>
      <c r="E121" s="86">
        <f>IF(Capacity!E73=0,"",E102/Capacity!E73)</f>
        <v>2.304886114</v>
      </c>
      <c r="F121" s="86">
        <f>IF(Capacity!F73=0,"",F102/Capacity!F73)</f>
        <v>2.304886114</v>
      </c>
      <c r="G121" s="86">
        <f>IF(Capacity!G73=0,"",G102/Capacity!G73)</f>
        <v>2.304886114</v>
      </c>
      <c r="H121" s="86">
        <f>IF(Capacity!H73=0,"",H102/Capacity!H73)</f>
        <v>2.304886114</v>
      </c>
      <c r="I121" s="86">
        <f>IF(Capacity!I73=0,"",I102/Capacity!I73)</f>
        <v>2.304886114</v>
      </c>
      <c r="J121" s="86">
        <f>IF(Capacity!J73=0,"",J102/Capacity!J73)</f>
        <v>2.304886114</v>
      </c>
      <c r="K121" s="86">
        <f>IF(Capacity!K73=0,"",K102/Capacity!K73)</f>
        <v>2.304886114</v>
      </c>
      <c r="L121" s="86">
        <f>IF(Capacity!L73=0,"",L102/Capacity!L73)</f>
        <v>2.304886114</v>
      </c>
      <c r="M121" s="86">
        <f>IF(Capacity!M73=0,"",M102/Capacity!M73)</f>
        <v>2.304886114</v>
      </c>
      <c r="N121" s="86">
        <f>IF(Capacity!N73=0,"",N102/Capacity!N73)</f>
        <v>2.304886114</v>
      </c>
      <c r="O121" s="86">
        <f>IF(Capacity!O73=0,"",O102/Capacity!O73)</f>
        <v>2.304886114</v>
      </c>
      <c r="P121" s="86">
        <f>IF(Capacity!P73=0,"",P102/Capacity!P73)</f>
        <v>2.304886114</v>
      </c>
      <c r="Q121" s="86">
        <f>IF(Capacity!Q73=0,"",Q102/Capacity!Q73)</f>
        <v>2.304886114</v>
      </c>
      <c r="R121" s="86">
        <f>IF(Capacity!R73=0,"",R102/Capacity!R73)</f>
        <v>2.304886114</v>
      </c>
      <c r="S121" s="86">
        <f>IF(Capacity!S73=0,"",S102/Capacity!S73)</f>
        <v>2.304886114</v>
      </c>
      <c r="T121" s="86">
        <f>IF(Capacity!T73=0,"",T102/Capacity!T73)</f>
        <v>2.336314088</v>
      </c>
      <c r="U121" s="86">
        <f>IF(Capacity!U73=0,"",U102/Capacity!U73)</f>
        <v>2.368170593</v>
      </c>
      <c r="V121" s="86">
        <f>IF(Capacity!V73=0,"",V102/Capacity!V73)</f>
        <v>2.400461474</v>
      </c>
      <c r="W121" s="86">
        <f>IF(Capacity!W73=0,"",W102/Capacity!W73)</f>
        <v>2.433192652</v>
      </c>
      <c r="X121" s="86">
        <f>IF(Capacity!X73=0,"",X102/Capacity!X73)</f>
        <v>2.466370132</v>
      </c>
      <c r="Y121" s="86">
        <f>IF(Capacity!Y73=0,"",Y102/Capacity!Y73)</f>
        <v>2.5</v>
      </c>
      <c r="Z121" s="87">
        <f>IF(SUM(Capacity!B73:M73)=0,"",SUM(B102:M102)/SUM(Capacity!B73:M73))</f>
        <v>2.304886114</v>
      </c>
      <c r="AA121" s="87">
        <f>IF(SUM(Capacity!N73:Y73)=0,"",SUM(N102:Y102)/SUM(Capacity!N73:Y73))</f>
        <v>2.358247151</v>
      </c>
    </row>
    <row r="122" outlineLevel="1">
      <c r="A122" s="6" t="s">
        <v>419</v>
      </c>
      <c r="B122" s="85">
        <f>IF(OR(B121="",'Rep capacity'!$D$28=0),"",B121/'Rep capacity'!$D$28)</f>
        <v>0.9219544457</v>
      </c>
      <c r="C122" s="85">
        <f>IF(OR(C121="",'Rep capacity'!$D$28=0),"",C121/'Rep capacity'!$D$28)</f>
        <v>0.9219544457</v>
      </c>
      <c r="D122" s="85">
        <f>IF(OR(D121="",'Rep capacity'!$D$28=0),"",D121/'Rep capacity'!$D$28)</f>
        <v>0.9219544457</v>
      </c>
      <c r="E122" s="85">
        <f>IF(OR(E121="",'Rep capacity'!$D$28=0),"",E121/'Rep capacity'!$D$28)</f>
        <v>0.9219544457</v>
      </c>
      <c r="F122" s="85">
        <f>IF(OR(F121="",'Rep capacity'!$D$28=0),"",F121/'Rep capacity'!$D$28)</f>
        <v>0.9219544457</v>
      </c>
      <c r="G122" s="85">
        <f>IF(OR(G121="",'Rep capacity'!$D$28=0),"",G121/'Rep capacity'!$D$28)</f>
        <v>0.9219544457</v>
      </c>
      <c r="H122" s="85">
        <f>IF(OR(H121="",'Rep capacity'!$D$28=0),"",H121/'Rep capacity'!$D$28)</f>
        <v>0.9219544457</v>
      </c>
      <c r="I122" s="85">
        <f>IF(OR(I121="",'Rep capacity'!$D$28=0),"",I121/'Rep capacity'!$D$28)</f>
        <v>0.9219544457</v>
      </c>
      <c r="J122" s="85">
        <f>IF(OR(J121="",'Rep capacity'!$D$28=0),"",J121/'Rep capacity'!$D$28)</f>
        <v>0.9219544457</v>
      </c>
      <c r="K122" s="85">
        <f>IF(OR(K121="",'Rep capacity'!$D$28=0),"",K121/'Rep capacity'!$D$28)</f>
        <v>0.9219544457</v>
      </c>
      <c r="L122" s="85">
        <f>IF(OR(L121="",'Rep capacity'!$D$28=0),"",L121/'Rep capacity'!$D$28)</f>
        <v>0.9219544457</v>
      </c>
      <c r="M122" s="85">
        <f>IF(OR(M121="",'Rep capacity'!$D$28=0),"",M121/'Rep capacity'!$D$28)</f>
        <v>0.9219544457</v>
      </c>
      <c r="N122" s="85">
        <f>IF(OR(N121="",'Rep capacity'!$D$28=0),"",N121/'Rep capacity'!$D$28)</f>
        <v>0.9219544457</v>
      </c>
      <c r="O122" s="85">
        <f>IF(OR(O121="",'Rep capacity'!$D$28=0),"",O121/'Rep capacity'!$D$28)</f>
        <v>0.9219544457</v>
      </c>
      <c r="P122" s="85">
        <f>IF(OR(P121="",'Rep capacity'!$D$28=0),"",P121/'Rep capacity'!$D$28)</f>
        <v>0.9219544457</v>
      </c>
      <c r="Q122" s="85">
        <f>IF(OR(Q121="",'Rep capacity'!$D$28=0),"",Q121/'Rep capacity'!$D$28)</f>
        <v>0.9219544457</v>
      </c>
      <c r="R122" s="85">
        <f>IF(OR(R121="",'Rep capacity'!$D$28=0),"",R121/'Rep capacity'!$D$28)</f>
        <v>0.9219544457</v>
      </c>
      <c r="S122" s="85">
        <f>IF(OR(S121="",'Rep capacity'!$D$28=0),"",S121/'Rep capacity'!$D$28)</f>
        <v>0.9219544457</v>
      </c>
      <c r="T122" s="85">
        <f>IF(OR(T121="",'Rep capacity'!$D$28=0),"",T121/'Rep capacity'!$D$28)</f>
        <v>0.9345256351</v>
      </c>
      <c r="U122" s="85">
        <f>IF(OR(U121="",'Rep capacity'!$D$28=0),"",U121/'Rep capacity'!$D$28)</f>
        <v>0.9472682372</v>
      </c>
      <c r="V122" s="85">
        <f>IF(OR(V121="",'Rep capacity'!$D$28=0),"",V121/'Rep capacity'!$D$28)</f>
        <v>0.9601845894</v>
      </c>
      <c r="W122" s="85">
        <f>IF(OR(W121="",'Rep capacity'!$D$28=0),"",W121/'Rep capacity'!$D$28)</f>
        <v>0.9732770609</v>
      </c>
      <c r="X122" s="85">
        <f>IF(OR(X121="",'Rep capacity'!$D$28=0),"",X121/'Rep capacity'!$D$28)</f>
        <v>0.986548053</v>
      </c>
      <c r="Y122" s="85">
        <f>IF(OR(Y121="",'Rep capacity'!$D$28=0),"",Y121/'Rep capacity'!$D$28)</f>
        <v>1</v>
      </c>
      <c r="Z122" s="84">
        <f>IF(Z121="","",Z121/'Rep capacity'!$D$28)</f>
        <v>0.9219544457</v>
      </c>
      <c r="AA122" s="84">
        <f>IF(AA121="","",AA121/'Rep capacity'!$D$28)</f>
        <v>0.9432988603</v>
      </c>
    </row>
    <row r="123" outlineLevel="1">
      <c r="A123" s="12" t="s">
        <v>420</v>
      </c>
      <c r="B123" s="91" t="str">
        <f t="array" ref="B123">IF(IF(ISNUMBER(INDEX($B$32:$I$32,1,B$3)),ROUND(N(INDEX($B$32:$I$32,1,B$3)),4)&lt;ROUND('Rep capacity'!$D$37,4),FALSE),IF(IF(ISNUMBER(B122),N(B122)&gt;Inputs!$B$13,FALSE),"Pipeline + Rep load","Pipeline"),IF(IF(ISNUMBER(B122),N(B122)&gt;Inputs!$B$13,FALSE),"Rep load","OK"))</f>
        <v>OK</v>
      </c>
      <c r="C123" s="91" t="str">
        <f t="array" ref="C123">IF(IF(ISNUMBER(INDEX($B$32:$I$32,1,C$3)),ROUND(N(INDEX($B$32:$I$32,1,C$3)),4)&lt;ROUND('Rep capacity'!$D$37,4),FALSE),IF(IF(ISNUMBER(C122),N(C122)&gt;Inputs!$B$13,FALSE),"Pipeline + Rep load","Pipeline"),IF(IF(ISNUMBER(C122),N(C122)&gt;Inputs!$B$13,FALSE),"Rep load","OK"))</f>
        <v>OK</v>
      </c>
      <c r="D123" s="91" t="str">
        <f t="array" ref="D123">IF(IF(ISNUMBER(INDEX($B$32:$I$32,1,D$3)),ROUND(N(INDEX($B$32:$I$32,1,D$3)),4)&lt;ROUND('Rep capacity'!$D$37,4),FALSE),IF(IF(ISNUMBER(D122),N(D122)&gt;Inputs!$B$13,FALSE),"Pipeline + Rep load","Pipeline"),IF(IF(ISNUMBER(D122),N(D122)&gt;Inputs!$B$13,FALSE),"Rep load","OK"))</f>
        <v>OK</v>
      </c>
      <c r="E123" s="91" t="str">
        <f t="array" ref="E123">IF(IF(ISNUMBER(INDEX($B$32:$I$32,1,E$3)),ROUND(N(INDEX($B$32:$I$32,1,E$3)),4)&lt;ROUND('Rep capacity'!$D$37,4),FALSE),IF(IF(ISNUMBER(E122),N(E122)&gt;Inputs!$B$13,FALSE),"Pipeline + Rep load","Pipeline"),IF(IF(ISNUMBER(E122),N(E122)&gt;Inputs!$B$13,FALSE),"Rep load","OK"))</f>
        <v>OK</v>
      </c>
      <c r="F123" s="91" t="str">
        <f t="array" ref="F123">IF(IF(ISNUMBER(INDEX($B$32:$I$32,1,F$3)),ROUND(N(INDEX($B$32:$I$32,1,F$3)),4)&lt;ROUND('Rep capacity'!$D$37,4),FALSE),IF(IF(ISNUMBER(F122),N(F122)&gt;Inputs!$B$13,FALSE),"Pipeline + Rep load","Pipeline"),IF(IF(ISNUMBER(F122),N(F122)&gt;Inputs!$B$13,FALSE),"Rep load","OK"))</f>
        <v>OK</v>
      </c>
      <c r="G123" s="91" t="str">
        <f t="array" ref="G123">IF(IF(ISNUMBER(INDEX($B$32:$I$32,1,G$3)),ROUND(N(INDEX($B$32:$I$32,1,G$3)),4)&lt;ROUND('Rep capacity'!$D$37,4),FALSE),IF(IF(ISNUMBER(G122),N(G122)&gt;Inputs!$B$13,FALSE),"Pipeline + Rep load","Pipeline"),IF(IF(ISNUMBER(G122),N(G122)&gt;Inputs!$B$13,FALSE),"Rep load","OK"))</f>
        <v>OK</v>
      </c>
      <c r="H123" s="91" t="str">
        <f t="array" ref="H123">IF(IF(ISNUMBER(INDEX($B$32:$I$32,1,H$3)),ROUND(N(INDEX($B$32:$I$32,1,H$3)),4)&lt;ROUND('Rep capacity'!$D$37,4),FALSE),IF(IF(ISNUMBER(H122),N(H122)&gt;Inputs!$B$13,FALSE),"Pipeline + Rep load","Pipeline"),IF(IF(ISNUMBER(H122),N(H122)&gt;Inputs!$B$13,FALSE),"Rep load","OK"))</f>
        <v>OK</v>
      </c>
      <c r="I123" s="91" t="str">
        <f t="array" ref="I123">IF(IF(ISNUMBER(INDEX($B$32:$I$32,1,I$3)),ROUND(N(INDEX($B$32:$I$32,1,I$3)),4)&lt;ROUND('Rep capacity'!$D$37,4),FALSE),IF(IF(ISNUMBER(I122),N(I122)&gt;Inputs!$B$13,FALSE),"Pipeline + Rep load","Pipeline"),IF(IF(ISNUMBER(I122),N(I122)&gt;Inputs!$B$13,FALSE),"Rep load","OK"))</f>
        <v>OK</v>
      </c>
      <c r="J123" s="91" t="str">
        <f t="array" ref="J123">IF(IF(ISNUMBER(INDEX($B$32:$I$32,1,J$3)),ROUND(N(INDEX($B$32:$I$32,1,J$3)),4)&lt;ROUND('Rep capacity'!$D$37,4),FALSE),IF(IF(ISNUMBER(J122),N(J122)&gt;Inputs!$B$13,FALSE),"Pipeline + Rep load","Pipeline"),IF(IF(ISNUMBER(J122),N(J122)&gt;Inputs!$B$13,FALSE),"Rep load","OK"))</f>
        <v>OK</v>
      </c>
      <c r="K123" s="91" t="str">
        <f t="array" ref="K123">IF(IF(ISNUMBER(INDEX($B$32:$I$32,1,K$3)),ROUND(N(INDEX($B$32:$I$32,1,K$3)),4)&lt;ROUND('Rep capacity'!$D$37,4),FALSE),IF(IF(ISNUMBER(K122),N(K122)&gt;Inputs!$B$13,FALSE),"Pipeline + Rep load","Pipeline"),IF(IF(ISNUMBER(K122),N(K122)&gt;Inputs!$B$13,FALSE),"Rep load","OK"))</f>
        <v>OK</v>
      </c>
      <c r="L123" s="91" t="str">
        <f t="array" ref="L123">IF(IF(ISNUMBER(INDEX($B$32:$I$32,1,L$3)),ROUND(N(INDEX($B$32:$I$32,1,L$3)),4)&lt;ROUND('Rep capacity'!$D$37,4),FALSE),IF(IF(ISNUMBER(L122),N(L122)&gt;Inputs!$B$13,FALSE),"Pipeline + Rep load","Pipeline"),IF(IF(ISNUMBER(L122),N(L122)&gt;Inputs!$B$13,FALSE),"Rep load","OK"))</f>
        <v>OK</v>
      </c>
      <c r="M123" s="91" t="str">
        <f t="array" ref="M123">IF(IF(ISNUMBER(INDEX($B$32:$I$32,1,M$3)),ROUND(N(INDEX($B$32:$I$32,1,M$3)),4)&lt;ROUND('Rep capacity'!$D$37,4),FALSE),IF(IF(ISNUMBER(M122),N(M122)&gt;Inputs!$B$13,FALSE),"Pipeline + Rep load","Pipeline"),IF(IF(ISNUMBER(M122),N(M122)&gt;Inputs!$B$13,FALSE),"Rep load","OK"))</f>
        <v>OK</v>
      </c>
      <c r="N123" s="91" t="str">
        <f t="array" ref="N123">IF(IF(ISNUMBER(INDEX($B$32:$I$32,1,N$3)),ROUND(N(INDEX($B$32:$I$32,1,N$3)),4)&lt;ROUND('Rep capacity'!$D$37,4),FALSE),IF(IF(ISNUMBER(N122),N(N122)&gt;Inputs!$B$13,FALSE),"Pipeline + Rep load","Pipeline"),IF(IF(ISNUMBER(N122),N(N122)&gt;Inputs!$B$13,FALSE),"Rep load","OK"))</f>
        <v>OK</v>
      </c>
      <c r="O123" s="91" t="str">
        <f t="array" ref="O123">IF(IF(ISNUMBER(INDEX($B$32:$I$32,1,O$3)),ROUND(N(INDEX($B$32:$I$32,1,O$3)),4)&lt;ROUND('Rep capacity'!$D$37,4),FALSE),IF(IF(ISNUMBER(O122),N(O122)&gt;Inputs!$B$13,FALSE),"Pipeline + Rep load","Pipeline"),IF(IF(ISNUMBER(O122),N(O122)&gt;Inputs!$B$13,FALSE),"Rep load","OK"))</f>
        <v>OK</v>
      </c>
      <c r="P123" s="91" t="str">
        <f t="array" ref="P123">IF(IF(ISNUMBER(INDEX($B$32:$I$32,1,P$3)),ROUND(N(INDEX($B$32:$I$32,1,P$3)),4)&lt;ROUND('Rep capacity'!$D$37,4),FALSE),IF(IF(ISNUMBER(P122),N(P122)&gt;Inputs!$B$13,FALSE),"Pipeline + Rep load","Pipeline"),IF(IF(ISNUMBER(P122),N(P122)&gt;Inputs!$B$13,FALSE),"Rep load","OK"))</f>
        <v>OK</v>
      </c>
      <c r="Q123" s="91" t="str">
        <f t="array" ref="Q123">IF(IF(ISNUMBER(INDEX($B$32:$I$32,1,Q$3)),ROUND(N(INDEX($B$32:$I$32,1,Q$3)),4)&lt;ROUND('Rep capacity'!$D$37,4),FALSE),IF(IF(ISNUMBER(Q122),N(Q122)&gt;Inputs!$B$13,FALSE),"Pipeline + Rep load","Pipeline"),IF(IF(ISNUMBER(Q122),N(Q122)&gt;Inputs!$B$13,FALSE),"Rep load","OK"))</f>
        <v>OK</v>
      </c>
      <c r="R123" s="91" t="str">
        <f t="array" ref="R123">IF(IF(ISNUMBER(INDEX($B$32:$I$32,1,R$3)),ROUND(N(INDEX($B$32:$I$32,1,R$3)),4)&lt;ROUND('Rep capacity'!$D$37,4),FALSE),IF(IF(ISNUMBER(R122),N(R122)&gt;Inputs!$B$13,FALSE),"Pipeline + Rep load","Pipeline"),IF(IF(ISNUMBER(R122),N(R122)&gt;Inputs!$B$13,FALSE),"Rep load","OK"))</f>
        <v>OK</v>
      </c>
      <c r="S123" s="91" t="str">
        <f t="array" ref="S123">IF(IF(ISNUMBER(INDEX($B$32:$I$32,1,S$3)),ROUND(N(INDEX($B$32:$I$32,1,S$3)),4)&lt;ROUND('Rep capacity'!$D$37,4),FALSE),IF(IF(ISNUMBER(S122),N(S122)&gt;Inputs!$B$13,FALSE),"Pipeline + Rep load","Pipeline"),IF(IF(ISNUMBER(S122),N(S122)&gt;Inputs!$B$13,FALSE),"Rep load","OK"))</f>
        <v>OK</v>
      </c>
      <c r="T123" s="91" t="str">
        <f t="array" ref="T123">IF(IF(ISNUMBER(INDEX($B$32:$I$32,1,T$3)),ROUND(N(INDEX($B$32:$I$32,1,T$3)),4)&lt;ROUND('Rep capacity'!$D$37,4),FALSE),IF(IF(ISNUMBER(T122),N(T122)&gt;Inputs!$B$13,FALSE),"Pipeline + Rep load","Pipeline"),IF(IF(ISNUMBER(T122),N(T122)&gt;Inputs!$B$13,FALSE),"Rep load","OK"))</f>
        <v>OK</v>
      </c>
      <c r="U123" s="91" t="str">
        <f t="array" ref="U123">IF(IF(ISNUMBER(INDEX($B$32:$I$32,1,U$3)),ROUND(N(INDEX($B$32:$I$32,1,U$3)),4)&lt;ROUND('Rep capacity'!$D$37,4),FALSE),IF(IF(ISNUMBER(U122),N(U122)&gt;Inputs!$B$13,FALSE),"Pipeline + Rep load","Pipeline"),IF(IF(ISNUMBER(U122),N(U122)&gt;Inputs!$B$13,FALSE),"Rep load","OK"))</f>
        <v>OK</v>
      </c>
      <c r="V123" s="91" t="str">
        <f t="array" ref="V123">IF(IF(ISNUMBER(INDEX($B$32:$I$32,1,V$3)),ROUND(N(INDEX($B$32:$I$32,1,V$3)),4)&lt;ROUND('Rep capacity'!$D$37,4),FALSE),IF(IF(ISNUMBER(V122),N(V122)&gt;Inputs!$B$13,FALSE),"Pipeline + Rep load","Pipeline"),IF(IF(ISNUMBER(V122),N(V122)&gt;Inputs!$B$13,FALSE),"Rep load","OK"))</f>
        <v>OK</v>
      </c>
      <c r="W123" s="91" t="str">
        <f t="array" ref="W123">IF(IF(ISNUMBER(INDEX($B$32:$I$32,1,W$3)),ROUND(N(INDEX($B$32:$I$32,1,W$3)),4)&lt;ROUND('Rep capacity'!$D$37,4),FALSE),IF(IF(ISNUMBER(W122),N(W122)&gt;Inputs!$B$13,FALSE),"Pipeline + Rep load","Pipeline"),IF(IF(ISNUMBER(W122),N(W122)&gt;Inputs!$B$13,FALSE),"Rep load","OK"))</f>
        <v>OK</v>
      </c>
      <c r="X123" s="91" t="str">
        <f t="array" ref="X123">IF(IF(ISNUMBER(INDEX($B$32:$I$32,1,X$3)),ROUND(N(INDEX($B$32:$I$32,1,X$3)),4)&lt;ROUND('Rep capacity'!$D$37,4),FALSE),IF(IF(ISNUMBER(X122),N(X122)&gt;Inputs!$B$13,FALSE),"Pipeline + Rep load","Pipeline"),IF(IF(ISNUMBER(X122),N(X122)&gt;Inputs!$B$13,FALSE),"Rep load","OK"))</f>
        <v>OK</v>
      </c>
      <c r="Y123" s="91" t="str">
        <f t="array" ref="Y123">IF(IF(ISNUMBER(INDEX($B$32:$I$32,1,Y$3)),ROUND(N(INDEX($B$32:$I$32,1,Y$3)),4)&lt;ROUND('Rep capacity'!$D$37,4),FALSE),IF(IF(ISNUMBER(Y122),N(Y122)&gt;Inputs!$B$13,FALSE),"Pipeline + Rep load","Pipeline"),IF(IF(ISNUMBER(Y122),N(Y122)&gt;Inputs!$B$13,FALSE),"Rep load","OK"))</f>
        <v>OK</v>
      </c>
      <c r="Z123" s="51"/>
      <c r="AA123" s="51"/>
    </row>
    <row r="124" outlineLevel="1">
      <c r="A124" s="3"/>
      <c r="Z124" s="51"/>
      <c r="AA124" s="51"/>
    </row>
    <row r="125">
      <c r="A125" s="4" t="s">
        <v>423</v>
      </c>
      <c r="B125" s="46"/>
      <c r="C125" s="46"/>
      <c r="D125" s="46"/>
      <c r="E125" s="46"/>
      <c r="F125" s="46"/>
      <c r="G125" s="46"/>
      <c r="H125" s="46"/>
      <c r="I125" s="46"/>
      <c r="J125" s="46"/>
      <c r="K125" s="46"/>
      <c r="L125" s="46"/>
      <c r="M125" s="46"/>
      <c r="N125" s="46"/>
      <c r="O125" s="46"/>
      <c r="P125" s="46"/>
      <c r="Q125" s="46"/>
      <c r="R125" s="46"/>
      <c r="S125" s="46"/>
      <c r="T125" s="46"/>
      <c r="U125" s="46"/>
      <c r="V125" s="46"/>
      <c r="W125" s="46"/>
      <c r="X125" s="46"/>
      <c r="Y125" s="46"/>
      <c r="Z125" s="46"/>
      <c r="AA125" s="46"/>
    </row>
    <row r="126" outlineLevel="1">
      <c r="A126" s="6" t="s">
        <v>424</v>
      </c>
      <c r="B126" s="86">
        <f t="shared" ref="B126:Y126" si="65">SUM(B42,B70,B98)</f>
        <v>1171.968754</v>
      </c>
      <c r="C126" s="86">
        <f t="shared" si="65"/>
        <v>1802.381874</v>
      </c>
      <c r="D126" s="86">
        <f t="shared" si="65"/>
        <v>2395.334686</v>
      </c>
      <c r="E126" s="86">
        <f t="shared" si="65"/>
        <v>2343.628735</v>
      </c>
      <c r="F126" s="86">
        <f t="shared" si="65"/>
        <v>2616.42856</v>
      </c>
      <c r="G126" s="86">
        <f t="shared" si="65"/>
        <v>2859.732246</v>
      </c>
      <c r="H126" s="86">
        <f t="shared" si="65"/>
        <v>2782.19341</v>
      </c>
      <c r="I126" s="86">
        <f t="shared" si="65"/>
        <v>2706.818416</v>
      </c>
      <c r="J126" s="86">
        <f t="shared" si="65"/>
        <v>2633.545765</v>
      </c>
      <c r="K126" s="86">
        <f t="shared" si="65"/>
        <v>2562.315724</v>
      </c>
      <c r="L126" s="86">
        <f t="shared" si="65"/>
        <v>2493.070278</v>
      </c>
      <c r="M126" s="86">
        <f t="shared" si="65"/>
        <v>2425.753078</v>
      </c>
      <c r="N126" s="86">
        <f t="shared" si="65"/>
        <v>2360.309396</v>
      </c>
      <c r="O126" s="86">
        <f t="shared" si="65"/>
        <v>2738.580433</v>
      </c>
      <c r="P126" s="86">
        <f t="shared" si="65"/>
        <v>3095.31934</v>
      </c>
      <c r="Q126" s="86">
        <f t="shared" si="65"/>
        <v>3127.003969</v>
      </c>
      <c r="R126" s="86">
        <f t="shared" si="65"/>
        <v>3044.379653</v>
      </c>
      <c r="S126" s="86">
        <f t="shared" si="65"/>
        <v>2964.016651</v>
      </c>
      <c r="T126" s="86">
        <f t="shared" si="65"/>
        <v>2886.938822</v>
      </c>
      <c r="U126" s="86">
        <f t="shared" si="65"/>
        <v>2811.9827</v>
      </c>
      <c r="V126" s="86">
        <f t="shared" si="65"/>
        <v>2739.088646</v>
      </c>
      <c r="W126" s="86">
        <f t="shared" si="65"/>
        <v>2680.001643</v>
      </c>
      <c r="X126" s="86">
        <f t="shared" si="65"/>
        <v>2622.645034</v>
      </c>
      <c r="Y126" s="86">
        <f t="shared" si="65"/>
        <v>2622.645034</v>
      </c>
      <c r="Z126" s="87">
        <f t="shared" ref="Z126:Z128" si="67">SUM(B126:M126)</f>
        <v>28793.17152</v>
      </c>
      <c r="AA126" s="87">
        <f t="shared" ref="AA126:AA128" si="68">SUM(N126:Y126)</f>
        <v>33692.91132</v>
      </c>
    </row>
    <row r="127" outlineLevel="1">
      <c r="A127" s="6" t="s">
        <v>397</v>
      </c>
      <c r="B127" s="86">
        <f t="shared" ref="B127:Y127" si="66">SUM(B43,B71,B99)</f>
        <v>295.5187227</v>
      </c>
      <c r="C127" s="86">
        <f t="shared" si="66"/>
        <v>453.7196496</v>
      </c>
      <c r="D127" s="86">
        <f t="shared" si="66"/>
        <v>602.5389632</v>
      </c>
      <c r="E127" s="86">
        <f t="shared" si="66"/>
        <v>590.1773864</v>
      </c>
      <c r="F127" s="86">
        <f t="shared" si="66"/>
        <v>658.9263851</v>
      </c>
      <c r="G127" s="86">
        <f t="shared" si="66"/>
        <v>719.6874784</v>
      </c>
      <c r="H127" s="86">
        <f t="shared" si="66"/>
        <v>700.2388132</v>
      </c>
      <c r="I127" s="86">
        <f t="shared" si="66"/>
        <v>681.3319689</v>
      </c>
      <c r="J127" s="86">
        <f t="shared" si="66"/>
        <v>662.951559</v>
      </c>
      <c r="K127" s="86">
        <f t="shared" si="66"/>
        <v>645.082639</v>
      </c>
      <c r="L127" s="86">
        <f t="shared" si="66"/>
        <v>627.7106938</v>
      </c>
      <c r="M127" s="86">
        <f t="shared" si="66"/>
        <v>610.8216253</v>
      </c>
      <c r="N127" s="86">
        <f t="shared" si="66"/>
        <v>594.4017401</v>
      </c>
      <c r="O127" s="86">
        <f t="shared" si="66"/>
        <v>688.9113279</v>
      </c>
      <c r="P127" s="86">
        <f t="shared" si="66"/>
        <v>778.0386657</v>
      </c>
      <c r="Q127" s="86">
        <f t="shared" si="66"/>
        <v>785.903206</v>
      </c>
      <c r="R127" s="86">
        <f t="shared" si="66"/>
        <v>765.1912716</v>
      </c>
      <c r="S127" s="86">
        <f t="shared" si="66"/>
        <v>745.045417</v>
      </c>
      <c r="T127" s="86">
        <f t="shared" si="66"/>
        <v>725.7759599</v>
      </c>
      <c r="U127" s="86">
        <f t="shared" si="66"/>
        <v>707.0369293</v>
      </c>
      <c r="V127" s="86">
        <f t="shared" si="66"/>
        <v>688.8134157</v>
      </c>
      <c r="W127" s="86">
        <f t="shared" si="66"/>
        <v>674.0416651</v>
      </c>
      <c r="X127" s="86">
        <f t="shared" si="66"/>
        <v>659.7025129</v>
      </c>
      <c r="Y127" s="86">
        <f t="shared" si="66"/>
        <v>659.7025129</v>
      </c>
      <c r="Z127" s="87">
        <f t="shared" si="67"/>
        <v>7248.705885</v>
      </c>
      <c r="AA127" s="87">
        <f t="shared" si="68"/>
        <v>8472.564624</v>
      </c>
    </row>
    <row r="128" outlineLevel="1">
      <c r="A128" s="6" t="s">
        <v>398</v>
      </c>
      <c r="B128" s="86">
        <f t="shared" ref="B128:Y128" si="69">SUM(B44,B72,B100)</f>
        <v>79.48368627</v>
      </c>
      <c r="C128" s="86">
        <f t="shared" si="69"/>
        <v>123.9173383</v>
      </c>
      <c r="D128" s="86">
        <f t="shared" si="69"/>
        <v>165.7209443</v>
      </c>
      <c r="E128" s="86">
        <f t="shared" si="69"/>
        <v>162.3907694</v>
      </c>
      <c r="F128" s="86">
        <f t="shared" si="69"/>
        <v>181.7684856</v>
      </c>
      <c r="G128" s="86">
        <f t="shared" si="69"/>
        <v>198.8347794</v>
      </c>
      <c r="H128" s="86">
        <f t="shared" si="69"/>
        <v>193.4413224</v>
      </c>
      <c r="I128" s="86">
        <f t="shared" si="69"/>
        <v>188.1985759</v>
      </c>
      <c r="J128" s="86">
        <f t="shared" si="69"/>
        <v>183.1022507</v>
      </c>
      <c r="K128" s="86">
        <f t="shared" si="69"/>
        <v>178.1481808</v>
      </c>
      <c r="L128" s="86">
        <f t="shared" si="69"/>
        <v>173.3323203</v>
      </c>
      <c r="M128" s="86">
        <f t="shared" si="69"/>
        <v>168.6507395</v>
      </c>
      <c r="N128" s="86">
        <f t="shared" si="69"/>
        <v>164.099622</v>
      </c>
      <c r="O128" s="86">
        <f t="shared" si="69"/>
        <v>189.7166808</v>
      </c>
      <c r="P128" s="86">
        <f t="shared" si="69"/>
        <v>213.8586731</v>
      </c>
      <c r="Q128" s="86">
        <f t="shared" si="69"/>
        <v>215.2781545</v>
      </c>
      <c r="R128" s="86">
        <f t="shared" si="69"/>
        <v>209.5692573</v>
      </c>
      <c r="S128" s="86">
        <f t="shared" si="69"/>
        <v>204.0171629</v>
      </c>
      <c r="T128" s="86">
        <f t="shared" si="69"/>
        <v>198.7153154</v>
      </c>
      <c r="U128" s="86">
        <f t="shared" si="69"/>
        <v>193.5602629</v>
      </c>
      <c r="V128" s="86">
        <f t="shared" si="69"/>
        <v>188.5478625</v>
      </c>
      <c r="W128" s="86">
        <f t="shared" si="69"/>
        <v>184.4117723</v>
      </c>
      <c r="X128" s="86">
        <f t="shared" si="69"/>
        <v>180.3968098</v>
      </c>
      <c r="Y128" s="86">
        <f t="shared" si="69"/>
        <v>180.3968098</v>
      </c>
      <c r="Z128" s="87">
        <f t="shared" si="67"/>
        <v>1996.989393</v>
      </c>
      <c r="AA128" s="87">
        <f t="shared" si="68"/>
        <v>2322.568383</v>
      </c>
    </row>
    <row r="129" outlineLevel="1">
      <c r="A129" s="6" t="s">
        <v>425</v>
      </c>
      <c r="B129" s="86">
        <f t="shared" ref="B129:Y129" si="70">SUM(B45,B73,B101)</f>
        <v>0</v>
      </c>
      <c r="C129" s="86">
        <f t="shared" si="70"/>
        <v>0</v>
      </c>
      <c r="D129" s="86">
        <f t="shared" si="70"/>
        <v>0</v>
      </c>
      <c r="E129" s="86">
        <f t="shared" si="70"/>
        <v>0</v>
      </c>
      <c r="F129" s="86">
        <f t="shared" si="70"/>
        <v>0</v>
      </c>
      <c r="G129" s="86">
        <f t="shared" si="70"/>
        <v>0</v>
      </c>
      <c r="H129" s="86">
        <f t="shared" si="70"/>
        <v>0</v>
      </c>
      <c r="I129" s="86">
        <f t="shared" si="70"/>
        <v>0</v>
      </c>
      <c r="J129" s="86">
        <f t="shared" si="70"/>
        <v>0</v>
      </c>
      <c r="K129" s="86">
        <f t="shared" si="70"/>
        <v>0</v>
      </c>
      <c r="L129" s="86">
        <f t="shared" si="70"/>
        <v>0</v>
      </c>
      <c r="M129" s="86">
        <f t="shared" si="70"/>
        <v>0</v>
      </c>
      <c r="N129" s="86">
        <f t="shared" si="70"/>
        <v>0</v>
      </c>
      <c r="O129" s="86">
        <f t="shared" si="70"/>
        <v>0</v>
      </c>
      <c r="P129" s="86">
        <f t="shared" si="70"/>
        <v>0</v>
      </c>
      <c r="Q129" s="86">
        <f t="shared" si="70"/>
        <v>0</v>
      </c>
      <c r="R129" s="86">
        <f t="shared" si="70"/>
        <v>0</v>
      </c>
      <c r="S129" s="86">
        <f t="shared" si="70"/>
        <v>0</v>
      </c>
      <c r="T129" s="86">
        <f t="shared" si="70"/>
        <v>0</v>
      </c>
      <c r="U129" s="86">
        <f t="shared" si="70"/>
        <v>0</v>
      </c>
      <c r="V129" s="86">
        <f t="shared" si="70"/>
        <v>0</v>
      </c>
      <c r="W129" s="86">
        <f t="shared" si="70"/>
        <v>0</v>
      </c>
      <c r="X129" s="86">
        <f t="shared" si="70"/>
        <v>0</v>
      </c>
      <c r="Y129" s="86">
        <f t="shared" si="70"/>
        <v>0</v>
      </c>
      <c r="Z129" s="87"/>
      <c r="AA129" s="87"/>
    </row>
    <row r="130" outlineLevel="1">
      <c r="A130" s="6" t="s">
        <v>426</v>
      </c>
      <c r="B130" s="86">
        <f t="shared" ref="B130:Y130" si="71">SUM(B46,B74,B102)</f>
        <v>79.48368627</v>
      </c>
      <c r="C130" s="86">
        <f t="shared" si="71"/>
        <v>123.9173383</v>
      </c>
      <c r="D130" s="86">
        <f t="shared" si="71"/>
        <v>165.7209443</v>
      </c>
      <c r="E130" s="86">
        <f t="shared" si="71"/>
        <v>162.3907694</v>
      </c>
      <c r="F130" s="86">
        <f t="shared" si="71"/>
        <v>181.7684856</v>
      </c>
      <c r="G130" s="86">
        <f t="shared" si="71"/>
        <v>198.8347794</v>
      </c>
      <c r="H130" s="86">
        <f t="shared" si="71"/>
        <v>193.4413224</v>
      </c>
      <c r="I130" s="86">
        <f t="shared" si="71"/>
        <v>188.1985759</v>
      </c>
      <c r="J130" s="86">
        <f t="shared" si="71"/>
        <v>183.1022507</v>
      </c>
      <c r="K130" s="86">
        <f t="shared" si="71"/>
        <v>178.1481808</v>
      </c>
      <c r="L130" s="86">
        <f t="shared" si="71"/>
        <v>173.3323203</v>
      </c>
      <c r="M130" s="86">
        <f t="shared" si="71"/>
        <v>168.6507395</v>
      </c>
      <c r="N130" s="86">
        <f t="shared" si="71"/>
        <v>164.099622</v>
      </c>
      <c r="O130" s="86">
        <f t="shared" si="71"/>
        <v>189.7166808</v>
      </c>
      <c r="P130" s="86">
        <f t="shared" si="71"/>
        <v>213.8586731</v>
      </c>
      <c r="Q130" s="86">
        <f t="shared" si="71"/>
        <v>215.2781545</v>
      </c>
      <c r="R130" s="86">
        <f t="shared" si="71"/>
        <v>209.5692573</v>
      </c>
      <c r="S130" s="86">
        <f t="shared" si="71"/>
        <v>204.0171629</v>
      </c>
      <c r="T130" s="86">
        <f t="shared" si="71"/>
        <v>198.7153154</v>
      </c>
      <c r="U130" s="86">
        <f t="shared" si="71"/>
        <v>193.5602629</v>
      </c>
      <c r="V130" s="86">
        <f t="shared" si="71"/>
        <v>188.5478625</v>
      </c>
      <c r="W130" s="86">
        <f t="shared" si="71"/>
        <v>184.4117723</v>
      </c>
      <c r="X130" s="86">
        <f t="shared" si="71"/>
        <v>180.3968098</v>
      </c>
      <c r="Y130" s="86">
        <f t="shared" si="71"/>
        <v>180.3968098</v>
      </c>
      <c r="Z130" s="87">
        <f t="shared" ref="Z130:Z132" si="73">SUM(B130:M130)</f>
        <v>1996.989393</v>
      </c>
      <c r="AA130" s="87">
        <f t="shared" ref="AA130:AA132" si="74">SUM(N130:Y130)</f>
        <v>2322.568383</v>
      </c>
    </row>
    <row r="131" outlineLevel="1">
      <c r="A131" s="6" t="s">
        <v>427</v>
      </c>
      <c r="B131" s="86">
        <f t="shared" ref="B131:Y131" si="72">SUM(B47,B75,B103)</f>
        <v>82.93748376</v>
      </c>
      <c r="C131" s="86">
        <f t="shared" si="72"/>
        <v>128.7553803</v>
      </c>
      <c r="D131" s="86">
        <f t="shared" si="72"/>
        <v>171.8625374</v>
      </c>
      <c r="E131" s="86">
        <f t="shared" si="72"/>
        <v>168.4729511</v>
      </c>
      <c r="F131" s="86">
        <f t="shared" si="72"/>
        <v>188.4750392</v>
      </c>
      <c r="G131" s="86">
        <f t="shared" si="72"/>
        <v>206.0360289</v>
      </c>
      <c r="H131" s="86">
        <f t="shared" si="72"/>
        <v>200.4600185</v>
      </c>
      <c r="I131" s="86">
        <f t="shared" si="72"/>
        <v>195.0395997</v>
      </c>
      <c r="J131" s="86">
        <f t="shared" si="72"/>
        <v>189.7703481</v>
      </c>
      <c r="K131" s="86">
        <f t="shared" si="72"/>
        <v>184.6479666</v>
      </c>
      <c r="L131" s="86">
        <f t="shared" si="72"/>
        <v>179.6682814</v>
      </c>
      <c r="M131" s="86">
        <f t="shared" si="72"/>
        <v>174.8272391</v>
      </c>
      <c r="N131" s="86">
        <f t="shared" si="72"/>
        <v>170.1209024</v>
      </c>
      <c r="O131" s="86">
        <f t="shared" si="72"/>
        <v>196.695207</v>
      </c>
      <c r="P131" s="86">
        <f t="shared" si="72"/>
        <v>221.7427961</v>
      </c>
      <c r="Q131" s="86">
        <f t="shared" si="72"/>
        <v>223.3754109</v>
      </c>
      <c r="R131" s="86">
        <f t="shared" si="72"/>
        <v>217.4667822</v>
      </c>
      <c r="S131" s="86">
        <f t="shared" si="72"/>
        <v>211.7201662</v>
      </c>
      <c r="T131" s="86">
        <f t="shared" si="72"/>
        <v>206.1310128</v>
      </c>
      <c r="U131" s="86">
        <f t="shared" si="72"/>
        <v>200.6949017</v>
      </c>
      <c r="V131" s="86">
        <f t="shared" si="72"/>
        <v>195.4075386</v>
      </c>
      <c r="W131" s="86">
        <f t="shared" si="72"/>
        <v>190.2647516</v>
      </c>
      <c r="X131" s="86">
        <f t="shared" si="72"/>
        <v>185.2624879</v>
      </c>
      <c r="Y131" s="86">
        <f t="shared" si="72"/>
        <v>180.3968098</v>
      </c>
      <c r="Z131" s="87">
        <f t="shared" si="73"/>
        <v>2070.952874</v>
      </c>
      <c r="AA131" s="87">
        <f t="shared" si="74"/>
        <v>2399.278767</v>
      </c>
    </row>
    <row r="132" outlineLevel="1">
      <c r="A132" s="6" t="s">
        <v>428</v>
      </c>
      <c r="B132" s="86">
        <f t="shared" ref="B132:Y132" si="75">SUM(B48,B76,B104)</f>
        <v>79.48368627</v>
      </c>
      <c r="C132" s="86">
        <f t="shared" si="75"/>
        <v>123.9173383</v>
      </c>
      <c r="D132" s="86">
        <f t="shared" si="75"/>
        <v>165.7209443</v>
      </c>
      <c r="E132" s="86">
        <f t="shared" si="75"/>
        <v>162.3907694</v>
      </c>
      <c r="F132" s="86">
        <f t="shared" si="75"/>
        <v>181.7684856</v>
      </c>
      <c r="G132" s="86">
        <f t="shared" si="75"/>
        <v>198.8347794</v>
      </c>
      <c r="H132" s="86">
        <f t="shared" si="75"/>
        <v>193.4413224</v>
      </c>
      <c r="I132" s="86">
        <f t="shared" si="75"/>
        <v>188.1985759</v>
      </c>
      <c r="J132" s="86">
        <f t="shared" si="75"/>
        <v>183.1022507</v>
      </c>
      <c r="K132" s="86">
        <f t="shared" si="75"/>
        <v>178.1481808</v>
      </c>
      <c r="L132" s="86">
        <f t="shared" si="75"/>
        <v>173.3323203</v>
      </c>
      <c r="M132" s="86">
        <f t="shared" si="75"/>
        <v>168.6507395</v>
      </c>
      <c r="N132" s="86">
        <f t="shared" si="75"/>
        <v>164.099622</v>
      </c>
      <c r="O132" s="86">
        <f t="shared" si="75"/>
        <v>189.7166808</v>
      </c>
      <c r="P132" s="86">
        <f t="shared" si="75"/>
        <v>213.8586731</v>
      </c>
      <c r="Q132" s="86">
        <f t="shared" si="75"/>
        <v>215.2781545</v>
      </c>
      <c r="R132" s="86">
        <f t="shared" si="75"/>
        <v>209.5692573</v>
      </c>
      <c r="S132" s="86">
        <f t="shared" si="75"/>
        <v>204.0171629</v>
      </c>
      <c r="T132" s="86">
        <f t="shared" si="75"/>
        <v>198.7153154</v>
      </c>
      <c r="U132" s="86">
        <f t="shared" si="75"/>
        <v>193.5602629</v>
      </c>
      <c r="V132" s="86">
        <f t="shared" si="75"/>
        <v>188.5478625</v>
      </c>
      <c r="W132" s="86">
        <f t="shared" si="75"/>
        <v>184.4117723</v>
      </c>
      <c r="X132" s="86">
        <f t="shared" si="75"/>
        <v>180.3968098</v>
      </c>
      <c r="Y132" s="86">
        <f t="shared" si="75"/>
        <v>180.3968098</v>
      </c>
      <c r="Z132" s="87">
        <f t="shared" si="73"/>
        <v>1996.989393</v>
      </c>
      <c r="AA132" s="87">
        <f t="shared" si="74"/>
        <v>2322.568383</v>
      </c>
    </row>
    <row r="133" outlineLevel="1">
      <c r="A133" s="6" t="s">
        <v>429</v>
      </c>
      <c r="B133" s="86">
        <f t="shared" ref="B133:Y133" si="76">SUM(B49,B77,B105)</f>
        <v>0</v>
      </c>
      <c r="C133" s="86">
        <f t="shared" si="76"/>
        <v>0</v>
      </c>
      <c r="D133" s="86">
        <f t="shared" si="76"/>
        <v>0</v>
      </c>
      <c r="E133" s="86">
        <f t="shared" si="76"/>
        <v>0</v>
      </c>
      <c r="F133" s="86">
        <f t="shared" si="76"/>
        <v>0</v>
      </c>
      <c r="G133" s="86">
        <f t="shared" si="76"/>
        <v>0</v>
      </c>
      <c r="H133" s="86">
        <f t="shared" si="76"/>
        <v>0</v>
      </c>
      <c r="I133" s="86">
        <f t="shared" si="76"/>
        <v>0</v>
      </c>
      <c r="J133" s="86">
        <f t="shared" si="76"/>
        <v>0</v>
      </c>
      <c r="K133" s="86">
        <f t="shared" si="76"/>
        <v>0</v>
      </c>
      <c r="L133" s="86">
        <f t="shared" si="76"/>
        <v>0</v>
      </c>
      <c r="M133" s="86">
        <f t="shared" si="76"/>
        <v>0</v>
      </c>
      <c r="N133" s="86">
        <f t="shared" si="76"/>
        <v>0</v>
      </c>
      <c r="O133" s="86">
        <f t="shared" si="76"/>
        <v>0</v>
      </c>
      <c r="P133" s="86">
        <f t="shared" si="76"/>
        <v>0</v>
      </c>
      <c r="Q133" s="86">
        <f t="shared" si="76"/>
        <v>0</v>
      </c>
      <c r="R133" s="86">
        <f t="shared" si="76"/>
        <v>0</v>
      </c>
      <c r="S133" s="86">
        <f t="shared" si="76"/>
        <v>0</v>
      </c>
      <c r="T133" s="86">
        <f t="shared" si="76"/>
        <v>0</v>
      </c>
      <c r="U133" s="86">
        <f t="shared" si="76"/>
        <v>0</v>
      </c>
      <c r="V133" s="86">
        <f t="shared" si="76"/>
        <v>0</v>
      </c>
      <c r="W133" s="86">
        <f t="shared" si="76"/>
        <v>0</v>
      </c>
      <c r="X133" s="86">
        <f t="shared" si="76"/>
        <v>0</v>
      </c>
      <c r="Y133" s="86">
        <f t="shared" si="76"/>
        <v>0</v>
      </c>
      <c r="Z133" s="87">
        <f>M133</f>
        <v>0</v>
      </c>
      <c r="AA133" s="87">
        <f>Y133</f>
        <v>0</v>
      </c>
    </row>
    <row r="134" outlineLevel="1">
      <c r="A134" s="6" t="s">
        <v>430</v>
      </c>
      <c r="B134" s="86">
        <f t="shared" ref="B134:Y134" si="77">SUM(B50,B78,B106)</f>
        <v>0</v>
      </c>
      <c r="C134" s="86">
        <f t="shared" si="77"/>
        <v>0</v>
      </c>
      <c r="D134" s="86">
        <f t="shared" si="77"/>
        <v>0</v>
      </c>
      <c r="E134" s="86">
        <f t="shared" si="77"/>
        <v>0</v>
      </c>
      <c r="F134" s="86">
        <f t="shared" si="77"/>
        <v>0</v>
      </c>
      <c r="G134" s="86">
        <f t="shared" si="77"/>
        <v>0</v>
      </c>
      <c r="H134" s="86">
        <f t="shared" si="77"/>
        <v>0</v>
      </c>
      <c r="I134" s="86">
        <f t="shared" si="77"/>
        <v>0</v>
      </c>
      <c r="J134" s="86">
        <f t="shared" si="77"/>
        <v>0</v>
      </c>
      <c r="K134" s="86">
        <f t="shared" si="77"/>
        <v>0</v>
      </c>
      <c r="L134" s="86">
        <f t="shared" si="77"/>
        <v>0</v>
      </c>
      <c r="M134" s="86">
        <f t="shared" si="77"/>
        <v>0</v>
      </c>
      <c r="N134" s="86">
        <f t="shared" si="77"/>
        <v>0</v>
      </c>
      <c r="O134" s="86">
        <f t="shared" si="77"/>
        <v>0</v>
      </c>
      <c r="P134" s="86">
        <f t="shared" si="77"/>
        <v>0</v>
      </c>
      <c r="Q134" s="86">
        <f t="shared" si="77"/>
        <v>0</v>
      </c>
      <c r="R134" s="86">
        <f t="shared" si="77"/>
        <v>0</v>
      </c>
      <c r="S134" s="86">
        <f t="shared" si="77"/>
        <v>0</v>
      </c>
      <c r="T134" s="86">
        <f t="shared" si="77"/>
        <v>0</v>
      </c>
      <c r="U134" s="86">
        <f t="shared" si="77"/>
        <v>0</v>
      </c>
      <c r="V134" s="86">
        <f t="shared" si="77"/>
        <v>0</v>
      </c>
      <c r="W134" s="86">
        <f t="shared" si="77"/>
        <v>0</v>
      </c>
      <c r="X134" s="86">
        <f t="shared" si="77"/>
        <v>0</v>
      </c>
      <c r="Y134" s="86">
        <f t="shared" si="77"/>
        <v>0</v>
      </c>
      <c r="Z134" s="87">
        <f t="shared" ref="Z134:Z144" si="79">SUM(B134:M134)</f>
        <v>0</v>
      </c>
      <c r="AA134" s="87">
        <f t="shared" ref="AA134:AA144" si="80">SUM(N134:Y134)</f>
        <v>0</v>
      </c>
    </row>
    <row r="135" outlineLevel="1">
      <c r="A135" s="6" t="s">
        <v>431</v>
      </c>
      <c r="B135" s="70">
        <f t="shared" ref="B135:Y135" si="78">SUM(B51,B79,B107)</f>
        <v>1612215.146</v>
      </c>
      <c r="C135" s="70">
        <f t="shared" si="78"/>
        <v>1971189.656</v>
      </c>
      <c r="D135" s="70">
        <f t="shared" si="78"/>
        <v>2313411.634</v>
      </c>
      <c r="E135" s="70">
        <f t="shared" si="78"/>
        <v>2434947.596</v>
      </c>
      <c r="F135" s="70">
        <f t="shared" si="78"/>
        <v>2661520.493</v>
      </c>
      <c r="G135" s="70">
        <f t="shared" si="78"/>
        <v>2716740.451</v>
      </c>
      <c r="H135" s="70">
        <f t="shared" si="78"/>
        <v>2664561.245</v>
      </c>
      <c r="I135" s="70">
        <f t="shared" si="78"/>
        <v>2613506.711</v>
      </c>
      <c r="J135" s="70">
        <f t="shared" si="78"/>
        <v>2563549.988</v>
      </c>
      <c r="K135" s="70">
        <f t="shared" si="78"/>
        <v>2514664.903</v>
      </c>
      <c r="L135" s="70">
        <f t="shared" si="78"/>
        <v>2466825.962</v>
      </c>
      <c r="M135" s="70">
        <f t="shared" si="78"/>
        <v>2420008.323</v>
      </c>
      <c r="N135" s="70">
        <f t="shared" si="78"/>
        <v>2374187.786</v>
      </c>
      <c r="O135" s="70">
        <f t="shared" si="78"/>
        <v>2616129.194</v>
      </c>
      <c r="P135" s="70">
        <f t="shared" si="78"/>
        <v>2846095.686</v>
      </c>
      <c r="Q135" s="70">
        <f t="shared" si="78"/>
        <v>2962239.12</v>
      </c>
      <c r="R135" s="70">
        <f t="shared" si="78"/>
        <v>2904694.518</v>
      </c>
      <c r="S135" s="70">
        <f t="shared" si="78"/>
        <v>2848385.311</v>
      </c>
      <c r="T135" s="70">
        <f t="shared" si="78"/>
        <v>2807960.36</v>
      </c>
      <c r="U135" s="70">
        <f t="shared" si="78"/>
        <v>2768515.936</v>
      </c>
      <c r="V135" s="70">
        <f t="shared" si="78"/>
        <v>2730027.071</v>
      </c>
      <c r="W135" s="70">
        <f t="shared" si="78"/>
        <v>2710173.838</v>
      </c>
      <c r="X135" s="70">
        <f t="shared" si="78"/>
        <v>2690902.017</v>
      </c>
      <c r="Y135" s="70">
        <f t="shared" si="78"/>
        <v>2690902.017</v>
      </c>
      <c r="Z135" s="71">
        <f t="shared" si="79"/>
        <v>28953142.11</v>
      </c>
      <c r="AA135" s="71">
        <f t="shared" si="80"/>
        <v>32950212.85</v>
      </c>
    </row>
    <row r="136" outlineLevel="1">
      <c r="A136" s="6" t="s">
        <v>432</v>
      </c>
      <c r="B136" s="70">
        <f t="shared" ref="B136:Y136" si="81">SUM(B52,B80,B108)</f>
        <v>1748400</v>
      </c>
      <c r="C136" s="70">
        <f t="shared" si="81"/>
        <v>1518000</v>
      </c>
      <c r="D136" s="70">
        <f t="shared" si="81"/>
        <v>1518000</v>
      </c>
      <c r="E136" s="70">
        <f t="shared" si="81"/>
        <v>750000</v>
      </c>
      <c r="F136" s="70">
        <f t="shared" si="81"/>
        <v>750000</v>
      </c>
      <c r="G136" s="70">
        <f t="shared" si="81"/>
        <v>750000</v>
      </c>
      <c r="H136" s="70">
        <f t="shared" si="81"/>
        <v>0</v>
      </c>
      <c r="I136" s="70">
        <f t="shared" si="81"/>
        <v>0</v>
      </c>
      <c r="J136" s="70">
        <f t="shared" si="81"/>
        <v>0</v>
      </c>
      <c r="K136" s="70">
        <f t="shared" si="81"/>
        <v>0</v>
      </c>
      <c r="L136" s="70">
        <f t="shared" si="81"/>
        <v>0</v>
      </c>
      <c r="M136" s="70">
        <f t="shared" si="81"/>
        <v>0</v>
      </c>
      <c r="N136" s="70">
        <f t="shared" si="81"/>
        <v>0</v>
      </c>
      <c r="O136" s="70">
        <f t="shared" si="81"/>
        <v>0</v>
      </c>
      <c r="P136" s="70">
        <f t="shared" si="81"/>
        <v>0</v>
      </c>
      <c r="Q136" s="70">
        <f t="shared" si="81"/>
        <v>0</v>
      </c>
      <c r="R136" s="70">
        <f t="shared" si="81"/>
        <v>0</v>
      </c>
      <c r="S136" s="70">
        <f t="shared" si="81"/>
        <v>0</v>
      </c>
      <c r="T136" s="70">
        <f t="shared" si="81"/>
        <v>0</v>
      </c>
      <c r="U136" s="70">
        <f t="shared" si="81"/>
        <v>0</v>
      </c>
      <c r="V136" s="70">
        <f t="shared" si="81"/>
        <v>0</v>
      </c>
      <c r="W136" s="70">
        <f t="shared" si="81"/>
        <v>0</v>
      </c>
      <c r="X136" s="70">
        <f t="shared" si="81"/>
        <v>0</v>
      </c>
      <c r="Y136" s="70">
        <f t="shared" si="81"/>
        <v>0</v>
      </c>
      <c r="Z136" s="71">
        <f t="shared" si="79"/>
        <v>7034400</v>
      </c>
      <c r="AA136" s="71">
        <f t="shared" si="80"/>
        <v>0</v>
      </c>
    </row>
    <row r="137" outlineLevel="1">
      <c r="A137" s="6" t="s">
        <v>433</v>
      </c>
      <c r="B137" s="70">
        <f t="shared" ref="B137:Y137" si="82">SUM(B53,B81,B109)</f>
        <v>0</v>
      </c>
      <c r="C137" s="70">
        <f t="shared" si="82"/>
        <v>0</v>
      </c>
      <c r="D137" s="70">
        <f t="shared" si="82"/>
        <v>0</v>
      </c>
      <c r="E137" s="70">
        <f t="shared" si="82"/>
        <v>0</v>
      </c>
      <c r="F137" s="70">
        <f t="shared" si="82"/>
        <v>0</v>
      </c>
      <c r="G137" s="70">
        <f t="shared" si="82"/>
        <v>0</v>
      </c>
      <c r="H137" s="70">
        <f t="shared" si="82"/>
        <v>0</v>
      </c>
      <c r="I137" s="70">
        <f t="shared" si="82"/>
        <v>0</v>
      </c>
      <c r="J137" s="70">
        <f t="shared" si="82"/>
        <v>0</v>
      </c>
      <c r="K137" s="70">
        <f t="shared" si="82"/>
        <v>0</v>
      </c>
      <c r="L137" s="70">
        <f t="shared" si="82"/>
        <v>0</v>
      </c>
      <c r="M137" s="70">
        <f t="shared" si="82"/>
        <v>0</v>
      </c>
      <c r="N137" s="70">
        <f t="shared" si="82"/>
        <v>0</v>
      </c>
      <c r="O137" s="70">
        <f t="shared" si="82"/>
        <v>0</v>
      </c>
      <c r="P137" s="70">
        <f t="shared" si="82"/>
        <v>0</v>
      </c>
      <c r="Q137" s="70">
        <f t="shared" si="82"/>
        <v>0</v>
      </c>
      <c r="R137" s="70">
        <f t="shared" si="82"/>
        <v>0</v>
      </c>
      <c r="S137" s="70">
        <f t="shared" si="82"/>
        <v>0</v>
      </c>
      <c r="T137" s="70">
        <f t="shared" si="82"/>
        <v>0</v>
      </c>
      <c r="U137" s="70">
        <f t="shared" si="82"/>
        <v>0</v>
      </c>
      <c r="V137" s="70">
        <f t="shared" si="82"/>
        <v>0</v>
      </c>
      <c r="W137" s="70">
        <f t="shared" si="82"/>
        <v>0</v>
      </c>
      <c r="X137" s="70">
        <f t="shared" si="82"/>
        <v>0</v>
      </c>
      <c r="Y137" s="70">
        <f t="shared" si="82"/>
        <v>0</v>
      </c>
      <c r="Z137" s="71">
        <f t="shared" si="79"/>
        <v>0</v>
      </c>
      <c r="AA137" s="71">
        <f t="shared" si="80"/>
        <v>0</v>
      </c>
    </row>
    <row r="138" outlineLevel="1">
      <c r="A138" s="6" t="s">
        <v>434</v>
      </c>
      <c r="B138" s="70">
        <f t="shared" ref="B138:Y138" si="83">SUM(B54,B82,B110)</f>
        <v>1748400</v>
      </c>
      <c r="C138" s="70">
        <f t="shared" si="83"/>
        <v>1735102.828</v>
      </c>
      <c r="D138" s="70">
        <f t="shared" si="83"/>
        <v>1945847.685</v>
      </c>
      <c r="E138" s="70">
        <f t="shared" si="83"/>
        <v>2089010.841</v>
      </c>
      <c r="F138" s="70">
        <f t="shared" si="83"/>
        <v>2057541.283</v>
      </c>
      <c r="G138" s="70">
        <f t="shared" si="83"/>
        <v>2135402.069</v>
      </c>
      <c r="H138" s="70">
        <f t="shared" si="83"/>
        <v>2139827.903</v>
      </c>
      <c r="I138" s="70">
        <f t="shared" si="83"/>
        <v>2265827.984</v>
      </c>
      <c r="J138" s="70">
        <f t="shared" si="83"/>
        <v>2388264.025</v>
      </c>
      <c r="K138" s="70">
        <f t="shared" si="83"/>
        <v>2507203.053</v>
      </c>
      <c r="L138" s="70">
        <f t="shared" si="83"/>
        <v>2622711.112</v>
      </c>
      <c r="M138" s="70">
        <f t="shared" si="83"/>
        <v>2573305.134</v>
      </c>
      <c r="N138" s="70">
        <f t="shared" si="83"/>
        <v>2524943.631</v>
      </c>
      <c r="O138" s="70">
        <f t="shared" si="83"/>
        <v>2477602.052</v>
      </c>
      <c r="P138" s="70">
        <f t="shared" si="83"/>
        <v>2539807.884</v>
      </c>
      <c r="Q138" s="70">
        <f t="shared" si="83"/>
        <v>2596628.427</v>
      </c>
      <c r="R138" s="70">
        <f t="shared" si="83"/>
        <v>2724270.721</v>
      </c>
      <c r="S138" s="70">
        <f t="shared" si="83"/>
        <v>2846454.082</v>
      </c>
      <c r="T138" s="70">
        <f t="shared" si="83"/>
        <v>2963333.127</v>
      </c>
      <c r="U138" s="70">
        <f t="shared" si="83"/>
        <v>2906492.556</v>
      </c>
      <c r="V138" s="70">
        <f t="shared" si="83"/>
        <v>2850856.862</v>
      </c>
      <c r="W138" s="70">
        <f t="shared" si="83"/>
        <v>2796397.99</v>
      </c>
      <c r="X138" s="70">
        <f t="shared" si="83"/>
        <v>2743088.596</v>
      </c>
      <c r="Y138" s="70">
        <f t="shared" si="83"/>
        <v>2690902.017</v>
      </c>
      <c r="Z138" s="71">
        <f t="shared" si="79"/>
        <v>26208443.92</v>
      </c>
      <c r="AA138" s="71">
        <f t="shared" si="80"/>
        <v>32660777.95</v>
      </c>
    </row>
    <row r="139" outlineLevel="1">
      <c r="A139" s="6" t="s">
        <v>435</v>
      </c>
      <c r="B139" s="86">
        <f t="shared" ref="B139:Y139" si="84">SUM(B55,B83,B111)</f>
        <v>23.4</v>
      </c>
      <c r="C139" s="86">
        <f t="shared" si="84"/>
        <v>22.56892677</v>
      </c>
      <c r="D139" s="86">
        <f t="shared" si="84"/>
        <v>35.74048033</v>
      </c>
      <c r="E139" s="86">
        <f t="shared" si="84"/>
        <v>47.55546687</v>
      </c>
      <c r="F139" s="86">
        <f t="shared" si="84"/>
        <v>46.27273288</v>
      </c>
      <c r="G139" s="86">
        <f t="shared" si="84"/>
        <v>51.81054165</v>
      </c>
      <c r="H139" s="86">
        <f t="shared" si="84"/>
        <v>56.8955797</v>
      </c>
      <c r="I139" s="86">
        <f t="shared" si="84"/>
        <v>55.5474427</v>
      </c>
      <c r="J139" s="86">
        <f t="shared" si="84"/>
        <v>54.23772889</v>
      </c>
      <c r="K139" s="86">
        <f t="shared" si="84"/>
        <v>52.96528581</v>
      </c>
      <c r="L139" s="86">
        <f t="shared" si="84"/>
        <v>51.72899566</v>
      </c>
      <c r="M139" s="86">
        <f t="shared" si="84"/>
        <v>50.31237668</v>
      </c>
      <c r="N139" s="86">
        <f t="shared" si="84"/>
        <v>48.93556984</v>
      </c>
      <c r="O139" s="86">
        <f t="shared" si="84"/>
        <v>47.59743821</v>
      </c>
      <c r="P139" s="86">
        <f t="shared" si="84"/>
        <v>53.08134105</v>
      </c>
      <c r="Q139" s="86">
        <f t="shared" si="84"/>
        <v>58.20436948</v>
      </c>
      <c r="R139" s="86">
        <f t="shared" si="84"/>
        <v>58.44666477</v>
      </c>
      <c r="S139" s="86">
        <f t="shared" si="84"/>
        <v>58.66629125</v>
      </c>
      <c r="T139" s="86">
        <f t="shared" si="84"/>
        <v>58.86382644</v>
      </c>
      <c r="U139" s="86">
        <f t="shared" si="84"/>
        <v>57.28394194</v>
      </c>
      <c r="V139" s="86">
        <f t="shared" si="84"/>
        <v>55.74779524</v>
      </c>
      <c r="W139" s="86">
        <f t="shared" si="84"/>
        <v>54.25415042</v>
      </c>
      <c r="X139" s="86">
        <f t="shared" si="84"/>
        <v>52.80180695</v>
      </c>
      <c r="Y139" s="86">
        <f t="shared" si="84"/>
        <v>51.38959865</v>
      </c>
      <c r="Z139" s="87">
        <f t="shared" si="79"/>
        <v>549.0355579</v>
      </c>
      <c r="AA139" s="87">
        <f t="shared" si="80"/>
        <v>655.2727943</v>
      </c>
    </row>
    <row r="140" outlineLevel="1">
      <c r="A140" s="6" t="s">
        <v>436</v>
      </c>
      <c r="B140" s="70">
        <f t="shared" ref="B140:Y140" si="85">SUM(B56,B84,B112)</f>
        <v>411120</v>
      </c>
      <c r="C140" s="70">
        <f t="shared" si="85"/>
        <v>407130.8485</v>
      </c>
      <c r="D140" s="70">
        <f t="shared" si="85"/>
        <v>470354.3056</v>
      </c>
      <c r="E140" s="70">
        <f t="shared" si="85"/>
        <v>516055.85</v>
      </c>
      <c r="F140" s="70">
        <f t="shared" si="85"/>
        <v>507271.7314</v>
      </c>
      <c r="G140" s="70">
        <f t="shared" si="85"/>
        <v>531274.6164</v>
      </c>
      <c r="H140" s="70">
        <f t="shared" si="85"/>
        <v>540018.712</v>
      </c>
      <c r="I140" s="70">
        <f t="shared" si="85"/>
        <v>562303.3879</v>
      </c>
      <c r="J140" s="70">
        <f t="shared" si="85"/>
        <v>583953.8866</v>
      </c>
      <c r="K140" s="70">
        <f t="shared" si="85"/>
        <v>604981.435</v>
      </c>
      <c r="L140" s="70">
        <f t="shared" si="85"/>
        <v>625397.1249</v>
      </c>
      <c r="M140" s="70">
        <f t="shared" si="85"/>
        <v>612902.2854</v>
      </c>
      <c r="N140" s="70">
        <f t="shared" si="85"/>
        <v>600686.6199</v>
      </c>
      <c r="O140" s="70">
        <f t="shared" si="85"/>
        <v>588743.2754</v>
      </c>
      <c r="P140" s="70">
        <f t="shared" si="85"/>
        <v>609631.0028</v>
      </c>
      <c r="Q140" s="70">
        <f t="shared" si="85"/>
        <v>628870.4886</v>
      </c>
      <c r="R140" s="70">
        <f t="shared" si="85"/>
        <v>660412.4837</v>
      </c>
      <c r="S140" s="70">
        <f t="shared" si="85"/>
        <v>690613.4896</v>
      </c>
      <c r="T140" s="70">
        <f t="shared" si="85"/>
        <v>719511.2907</v>
      </c>
      <c r="U140" s="70">
        <f t="shared" si="85"/>
        <v>705001.2207</v>
      </c>
      <c r="V140" s="70">
        <f t="shared" si="85"/>
        <v>690813.5875</v>
      </c>
      <c r="W140" s="70">
        <f t="shared" si="85"/>
        <v>676940.5894</v>
      </c>
      <c r="X140" s="70">
        <f t="shared" si="85"/>
        <v>663374.6265</v>
      </c>
      <c r="Y140" s="70">
        <f t="shared" si="85"/>
        <v>650108.2947</v>
      </c>
      <c r="Z140" s="71">
        <f t="shared" si="79"/>
        <v>6372764.184</v>
      </c>
      <c r="AA140" s="71">
        <f t="shared" si="80"/>
        <v>7884706.969</v>
      </c>
    </row>
    <row r="141" outlineLevel="1">
      <c r="A141" s="6" t="s">
        <v>437</v>
      </c>
      <c r="B141" s="70">
        <f t="shared" ref="B141:Y141" si="86">SUM(B57,B85,B113)</f>
        <v>403540.6858</v>
      </c>
      <c r="C141" s="70">
        <f t="shared" si="86"/>
        <v>396112.9646</v>
      </c>
      <c r="D141" s="70">
        <f t="shared" si="86"/>
        <v>453964.3829</v>
      </c>
      <c r="E141" s="70">
        <f t="shared" si="86"/>
        <v>508146.0855</v>
      </c>
      <c r="F141" s="70">
        <f t="shared" si="86"/>
        <v>497450.5767</v>
      </c>
      <c r="G141" s="70">
        <f t="shared" si="86"/>
        <v>519567.7833</v>
      </c>
      <c r="H141" s="70">
        <f t="shared" si="86"/>
        <v>540018.712</v>
      </c>
      <c r="I141" s="70">
        <f t="shared" si="86"/>
        <v>562303.3879</v>
      </c>
      <c r="J141" s="70">
        <f t="shared" si="86"/>
        <v>583953.8866</v>
      </c>
      <c r="K141" s="70">
        <f t="shared" si="86"/>
        <v>604981.435</v>
      </c>
      <c r="L141" s="70">
        <f t="shared" si="86"/>
        <v>625397.1249</v>
      </c>
      <c r="M141" s="70">
        <f t="shared" si="86"/>
        <v>612902.2854</v>
      </c>
      <c r="N141" s="70">
        <f t="shared" si="86"/>
        <v>600686.6199</v>
      </c>
      <c r="O141" s="70">
        <f t="shared" si="86"/>
        <v>588743.2754</v>
      </c>
      <c r="P141" s="70">
        <f t="shared" si="86"/>
        <v>609631.0028</v>
      </c>
      <c r="Q141" s="70">
        <f t="shared" si="86"/>
        <v>628870.4886</v>
      </c>
      <c r="R141" s="70">
        <f t="shared" si="86"/>
        <v>660412.4837</v>
      </c>
      <c r="S141" s="70">
        <f t="shared" si="86"/>
        <v>690613.4896</v>
      </c>
      <c r="T141" s="70">
        <f t="shared" si="86"/>
        <v>719511.2907</v>
      </c>
      <c r="U141" s="70">
        <f t="shared" si="86"/>
        <v>705001.2207</v>
      </c>
      <c r="V141" s="70">
        <f t="shared" si="86"/>
        <v>690813.5875</v>
      </c>
      <c r="W141" s="70">
        <f t="shared" si="86"/>
        <v>676940.5894</v>
      </c>
      <c r="X141" s="70">
        <f t="shared" si="86"/>
        <v>663374.6265</v>
      </c>
      <c r="Y141" s="70">
        <f t="shared" si="86"/>
        <v>650108.2947</v>
      </c>
      <c r="Z141" s="71">
        <f t="shared" si="79"/>
        <v>6308339.311</v>
      </c>
      <c r="AA141" s="71">
        <f t="shared" si="80"/>
        <v>7884706.969</v>
      </c>
    </row>
    <row r="142" outlineLevel="1">
      <c r="A142" s="6" t="s">
        <v>438</v>
      </c>
      <c r="B142" s="86">
        <f t="shared" ref="B142:Y142" si="87">IF(COUNT(B60,B88,B116)=0,"",SUM(B60,B88,B116))</f>
        <v>79.48368627</v>
      </c>
      <c r="C142" s="86">
        <f t="shared" si="87"/>
        <v>123.9173383</v>
      </c>
      <c r="D142" s="86">
        <f t="shared" si="87"/>
        <v>165.7209443</v>
      </c>
      <c r="E142" s="86">
        <f t="shared" si="87"/>
        <v>162.3907694</v>
      </c>
      <c r="F142" s="86">
        <f t="shared" si="87"/>
        <v>181.7684856</v>
      </c>
      <c r="G142" s="86">
        <f t="shared" si="87"/>
        <v>198.8347794</v>
      </c>
      <c r="H142" s="86">
        <f t="shared" si="87"/>
        <v>193.4413224</v>
      </c>
      <c r="I142" s="86">
        <f t="shared" si="87"/>
        <v>188.1985759</v>
      </c>
      <c r="J142" s="86">
        <f t="shared" si="87"/>
        <v>183.1022507</v>
      </c>
      <c r="K142" s="86">
        <f t="shared" si="87"/>
        <v>178.1481808</v>
      </c>
      <c r="L142" s="86">
        <f t="shared" si="87"/>
        <v>173.3323203</v>
      </c>
      <c r="M142" s="86">
        <f t="shared" si="87"/>
        <v>168.6507395</v>
      </c>
      <c r="N142" s="86">
        <f t="shared" si="87"/>
        <v>164.099622</v>
      </c>
      <c r="O142" s="86">
        <f t="shared" si="87"/>
        <v>189.7166808</v>
      </c>
      <c r="P142" s="86">
        <f t="shared" si="87"/>
        <v>213.8586731</v>
      </c>
      <c r="Q142" s="86">
        <f t="shared" si="87"/>
        <v>215.2781545</v>
      </c>
      <c r="R142" s="86">
        <f t="shared" si="87"/>
        <v>209.5692573</v>
      </c>
      <c r="S142" s="86">
        <f t="shared" si="87"/>
        <v>204.0171629</v>
      </c>
      <c r="T142" s="86">
        <f t="shared" si="87"/>
        <v>191.4410577</v>
      </c>
      <c r="U142" s="86">
        <f t="shared" si="87"/>
        <v>186.2860052</v>
      </c>
      <c r="V142" s="86">
        <f t="shared" si="87"/>
        <v>181.2736048</v>
      </c>
      <c r="W142" s="86">
        <f t="shared" si="87"/>
        <v>137.0971447</v>
      </c>
      <c r="X142" s="86">
        <f t="shared" si="87"/>
        <v>133.0821821</v>
      </c>
      <c r="Y142" s="86" t="str">
        <f t="shared" si="87"/>
        <v/>
      </c>
      <c r="Z142" s="87">
        <f t="shared" si="79"/>
        <v>1996.989393</v>
      </c>
      <c r="AA142" s="87">
        <f t="shared" si="80"/>
        <v>2025.719545</v>
      </c>
    </row>
    <row r="143" outlineLevel="1">
      <c r="A143" s="6" t="s">
        <v>439</v>
      </c>
      <c r="B143" s="70">
        <f t="shared" ref="B143:Y143" si="88">IF(COUNT(B61,B89,B117)=0,"",SUM(B61,B89,B117))</f>
        <v>1612215.146</v>
      </c>
      <c r="C143" s="70">
        <f t="shared" si="88"/>
        <v>1971189.656</v>
      </c>
      <c r="D143" s="70">
        <f t="shared" si="88"/>
        <v>2313411.634</v>
      </c>
      <c r="E143" s="70">
        <f t="shared" si="88"/>
        <v>2434947.596</v>
      </c>
      <c r="F143" s="70">
        <f t="shared" si="88"/>
        <v>2661520.493</v>
      </c>
      <c r="G143" s="70">
        <f t="shared" si="88"/>
        <v>2716740.451</v>
      </c>
      <c r="H143" s="70">
        <f t="shared" si="88"/>
        <v>2664561.245</v>
      </c>
      <c r="I143" s="70">
        <f t="shared" si="88"/>
        <v>2613506.711</v>
      </c>
      <c r="J143" s="70">
        <f t="shared" si="88"/>
        <v>2563549.988</v>
      </c>
      <c r="K143" s="70">
        <f t="shared" si="88"/>
        <v>2514664.903</v>
      </c>
      <c r="L143" s="70">
        <f t="shared" si="88"/>
        <v>2466825.962</v>
      </c>
      <c r="M143" s="70">
        <f t="shared" si="88"/>
        <v>2420008.323</v>
      </c>
      <c r="N143" s="70">
        <f t="shared" si="88"/>
        <v>2374187.786</v>
      </c>
      <c r="O143" s="70">
        <f t="shared" si="88"/>
        <v>2616129.194</v>
      </c>
      <c r="P143" s="70">
        <f t="shared" si="88"/>
        <v>2846095.686</v>
      </c>
      <c r="Q143" s="70">
        <f t="shared" si="88"/>
        <v>2962239.12</v>
      </c>
      <c r="R143" s="70">
        <f t="shared" si="88"/>
        <v>2904694.518</v>
      </c>
      <c r="S143" s="70">
        <f t="shared" si="88"/>
        <v>2848385.311</v>
      </c>
      <c r="T143" s="70">
        <f t="shared" si="88"/>
        <v>1716821.694</v>
      </c>
      <c r="U143" s="70">
        <f t="shared" si="88"/>
        <v>1677377.27</v>
      </c>
      <c r="V143" s="70">
        <f t="shared" si="88"/>
        <v>1638888.405</v>
      </c>
      <c r="W143" s="70">
        <f t="shared" si="88"/>
        <v>658066.2945</v>
      </c>
      <c r="X143" s="70">
        <f t="shared" si="88"/>
        <v>638794.474</v>
      </c>
      <c r="Y143" s="70" t="str">
        <f t="shared" si="88"/>
        <v/>
      </c>
      <c r="Z143" s="71">
        <f t="shared" si="79"/>
        <v>28953142.11</v>
      </c>
      <c r="AA143" s="71">
        <f t="shared" si="80"/>
        <v>22881679.75</v>
      </c>
    </row>
    <row r="144" outlineLevel="1">
      <c r="A144" s="6" t="s">
        <v>440</v>
      </c>
      <c r="B144" s="86">
        <f t="shared" ref="B144:Y144" si="89">IF(COUNT(B62,B90,B118)=0,"",SUM(B62,B90,B118))</f>
        <v>1171.968754</v>
      </c>
      <c r="C144" s="86">
        <f t="shared" si="89"/>
        <v>1802.381874</v>
      </c>
      <c r="D144" s="86">
        <f t="shared" si="89"/>
        <v>2395.334686</v>
      </c>
      <c r="E144" s="86">
        <f t="shared" si="89"/>
        <v>2343.628735</v>
      </c>
      <c r="F144" s="86">
        <f t="shared" si="89"/>
        <v>2616.42856</v>
      </c>
      <c r="G144" s="86">
        <f t="shared" si="89"/>
        <v>2859.732246</v>
      </c>
      <c r="H144" s="86">
        <f t="shared" si="89"/>
        <v>2782.19341</v>
      </c>
      <c r="I144" s="86">
        <f t="shared" si="89"/>
        <v>2706.818416</v>
      </c>
      <c r="J144" s="86">
        <f t="shared" si="89"/>
        <v>2633.545765</v>
      </c>
      <c r="K144" s="86">
        <f t="shared" si="89"/>
        <v>2562.315724</v>
      </c>
      <c r="L144" s="86">
        <f t="shared" si="89"/>
        <v>2493.070278</v>
      </c>
      <c r="M144" s="86">
        <f t="shared" si="89"/>
        <v>2425.753078</v>
      </c>
      <c r="N144" s="86">
        <f t="shared" si="89"/>
        <v>2360.309396</v>
      </c>
      <c r="O144" s="86">
        <f t="shared" si="89"/>
        <v>2738.580433</v>
      </c>
      <c r="P144" s="86">
        <f t="shared" si="89"/>
        <v>3095.31934</v>
      </c>
      <c r="Q144" s="86">
        <f t="shared" si="89"/>
        <v>3127.003969</v>
      </c>
      <c r="R144" s="86">
        <f t="shared" si="89"/>
        <v>3044.379653</v>
      </c>
      <c r="S144" s="86">
        <f t="shared" si="89"/>
        <v>2964.016651</v>
      </c>
      <c r="T144" s="86">
        <f t="shared" si="89"/>
        <v>2806.113736</v>
      </c>
      <c r="U144" s="86">
        <f t="shared" si="89"/>
        <v>2731.157614</v>
      </c>
      <c r="V144" s="86">
        <f t="shared" si="89"/>
        <v>2658.263559</v>
      </c>
      <c r="W144" s="86">
        <f t="shared" si="89"/>
        <v>1958.530638</v>
      </c>
      <c r="X144" s="86">
        <f t="shared" si="89"/>
        <v>1901.17403</v>
      </c>
      <c r="Y144" s="86" t="str">
        <f t="shared" si="89"/>
        <v/>
      </c>
      <c r="Z144" s="87">
        <f t="shared" si="79"/>
        <v>28793.17152</v>
      </c>
      <c r="AA144" s="87">
        <f t="shared" si="80"/>
        <v>29384.84902</v>
      </c>
    </row>
    <row r="145" outlineLevel="1">
      <c r="A145" s="6" t="s">
        <v>441</v>
      </c>
      <c r="B145" s="85">
        <f t="shared" ref="B145:Y145" si="90">IF(B141=0,"",B138/B141)</f>
        <v>4.332648631</v>
      </c>
      <c r="C145" s="85">
        <f t="shared" si="90"/>
        <v>4.38032325</v>
      </c>
      <c r="D145" s="85">
        <f t="shared" si="90"/>
        <v>4.286344388</v>
      </c>
      <c r="E145" s="85">
        <f t="shared" si="90"/>
        <v>4.111043852</v>
      </c>
      <c r="F145" s="85">
        <f t="shared" si="90"/>
        <v>4.136172274</v>
      </c>
      <c r="G145" s="85">
        <f t="shared" si="90"/>
        <v>4.109958579</v>
      </c>
      <c r="H145" s="85">
        <f t="shared" si="90"/>
        <v>3.962506956</v>
      </c>
      <c r="I145" s="85">
        <f t="shared" si="90"/>
        <v>4.029547095</v>
      </c>
      <c r="J145" s="85">
        <f t="shared" si="90"/>
        <v>4.08981613</v>
      </c>
      <c r="K145" s="85">
        <f t="shared" si="90"/>
        <v>4.144264448</v>
      </c>
      <c r="L145" s="85">
        <f t="shared" si="90"/>
        <v>4.193673121</v>
      </c>
      <c r="M145" s="85">
        <f t="shared" si="90"/>
        <v>4.198556924</v>
      </c>
      <c r="N145" s="85">
        <f t="shared" si="90"/>
        <v>4.203429121</v>
      </c>
      <c r="O145" s="85">
        <f t="shared" si="90"/>
        <v>4.208289343</v>
      </c>
      <c r="P145" s="85">
        <f t="shared" si="90"/>
        <v>4.166139636</v>
      </c>
      <c r="Q145" s="85">
        <f t="shared" si="90"/>
        <v>4.129035269</v>
      </c>
      <c r="R145" s="85">
        <f t="shared" si="90"/>
        <v>4.125104822</v>
      </c>
      <c r="S145" s="85">
        <f t="shared" si="90"/>
        <v>4.121631166</v>
      </c>
      <c r="T145" s="85">
        <f t="shared" si="90"/>
        <v>4.118535964</v>
      </c>
      <c r="U145" s="85">
        <f t="shared" si="90"/>
        <v>4.122677339</v>
      </c>
      <c r="V145" s="85">
        <f t="shared" si="90"/>
        <v>4.126810638</v>
      </c>
      <c r="W145" s="85">
        <f t="shared" si="90"/>
        <v>4.130935616</v>
      </c>
      <c r="X145" s="85">
        <f t="shared" si="90"/>
        <v>4.13505203</v>
      </c>
      <c r="Y145" s="85">
        <f t="shared" si="90"/>
        <v>4.139159643</v>
      </c>
      <c r="Z145" s="84">
        <f>IF(SUM(B141:M141)=0,"",SUM(B138:M138)/SUM(B141:M141))</f>
        <v>4.154571057</v>
      </c>
      <c r="AA145" s="84">
        <f>IF(SUM(N141:Y141)=0,"",SUM(N138:Y138)/SUM(N141:Y141))</f>
        <v>4.142294453</v>
      </c>
    </row>
    <row r="146" outlineLevel="1">
      <c r="A146" s="6" t="s">
        <v>442</v>
      </c>
      <c r="B146" s="85">
        <f t="shared" ref="B146:Y146" si="91">IF(B141=0,"",B140/B141)</f>
        <v>1.018782032</v>
      </c>
      <c r="C146" s="85">
        <f t="shared" si="91"/>
        <v>1.027815005</v>
      </c>
      <c r="D146" s="85">
        <f t="shared" si="91"/>
        <v>1.036103984</v>
      </c>
      <c r="E146" s="85">
        <f t="shared" si="91"/>
        <v>1.015565926</v>
      </c>
      <c r="F146" s="85">
        <f t="shared" si="91"/>
        <v>1.019742976</v>
      </c>
      <c r="G146" s="85">
        <f t="shared" si="91"/>
        <v>1.022531869</v>
      </c>
      <c r="H146" s="85">
        <f t="shared" si="91"/>
        <v>1</v>
      </c>
      <c r="I146" s="85">
        <f t="shared" si="91"/>
        <v>1</v>
      </c>
      <c r="J146" s="85">
        <f t="shared" si="91"/>
        <v>1</v>
      </c>
      <c r="K146" s="85">
        <f t="shared" si="91"/>
        <v>1</v>
      </c>
      <c r="L146" s="85">
        <f t="shared" si="91"/>
        <v>1</v>
      </c>
      <c r="M146" s="85">
        <f t="shared" si="91"/>
        <v>1</v>
      </c>
      <c r="N146" s="85">
        <f t="shared" si="91"/>
        <v>1</v>
      </c>
      <c r="O146" s="85">
        <f t="shared" si="91"/>
        <v>1</v>
      </c>
      <c r="P146" s="85">
        <f t="shared" si="91"/>
        <v>1</v>
      </c>
      <c r="Q146" s="85">
        <f t="shared" si="91"/>
        <v>1</v>
      </c>
      <c r="R146" s="85">
        <f t="shared" si="91"/>
        <v>1</v>
      </c>
      <c r="S146" s="85">
        <f t="shared" si="91"/>
        <v>1</v>
      </c>
      <c r="T146" s="85">
        <f t="shared" si="91"/>
        <v>1</v>
      </c>
      <c r="U146" s="85">
        <f t="shared" si="91"/>
        <v>1</v>
      </c>
      <c r="V146" s="85">
        <f t="shared" si="91"/>
        <v>1</v>
      </c>
      <c r="W146" s="85">
        <f t="shared" si="91"/>
        <v>1</v>
      </c>
      <c r="X146" s="85">
        <f t="shared" si="91"/>
        <v>1</v>
      </c>
      <c r="Y146" s="85">
        <f t="shared" si="91"/>
        <v>1</v>
      </c>
      <c r="Z146" s="84">
        <f>IF(SUM(B141:M141)=0,"",SUM(B140:M140)/SUM(B141:M141))</f>
        <v>1.010212652</v>
      </c>
      <c r="AA146" s="84">
        <f>IF(SUM(N141:Y141)=0,"",SUM(N140:Y140)/SUM(N141:Y141))</f>
        <v>1</v>
      </c>
    </row>
    <row r="147" outlineLevel="1">
      <c r="A147" s="6" t="s">
        <v>418</v>
      </c>
      <c r="B147" s="86">
        <f>IF(Capacity!B88=0,"",B130/Capacity!B88)</f>
        <v>10.13715059</v>
      </c>
      <c r="C147" s="86">
        <f>IF(Capacity!C88=0,"",C130/Capacity!C88)</f>
        <v>12.24503804</v>
      </c>
      <c r="D147" s="86">
        <f>IF(Capacity!D88=0,"",D130/Capacity!D88)</f>
        <v>13.50053236</v>
      </c>
      <c r="E147" s="86">
        <f>IF(Capacity!E88=0,"",E130/Capacity!E88)</f>
        <v>13.00931087</v>
      </c>
      <c r="F147" s="86">
        <f>IF(Capacity!F88=0,"",F130/Capacity!F88)</f>
        <v>13.31190555</v>
      </c>
      <c r="G147" s="86">
        <f>IF(Capacity!G88=0,"",G130/Capacity!G88)</f>
        <v>13.90825784</v>
      </c>
      <c r="H147" s="86">
        <f>IF(Capacity!H88=0,"",H130/Capacity!H88)</f>
        <v>13.84180939</v>
      </c>
      <c r="I147" s="86">
        <f>IF(Capacity!I88=0,"",I130/Capacity!I88)</f>
        <v>13.77530963</v>
      </c>
      <c r="J147" s="86">
        <f>IF(Capacity!J88=0,"",J130/Capacity!J88)</f>
        <v>13.70876457</v>
      </c>
      <c r="K147" s="86">
        <f>IF(Capacity!K88=0,"",K130/Capacity!K88)</f>
        <v>13.64218021</v>
      </c>
      <c r="L147" s="86">
        <f>IF(Capacity!L88=0,"",L130/Capacity!L88)</f>
        <v>13.5755626</v>
      </c>
      <c r="M147" s="86">
        <f>IF(Capacity!M88=0,"",M130/Capacity!M88)</f>
        <v>13.50891776</v>
      </c>
      <c r="N147" s="86">
        <f>IF(Capacity!N88=0,"",N130/Capacity!N88)</f>
        <v>13.44225175</v>
      </c>
      <c r="O147" s="86">
        <f>IF(Capacity!O88=0,"",O130/Capacity!O88)</f>
        <v>13.65839138</v>
      </c>
      <c r="P147" s="86">
        <f>IF(Capacity!P88=0,"",P130/Capacity!P88)</f>
        <v>13.80978671</v>
      </c>
      <c r="Q147" s="86">
        <f>IF(Capacity!Q88=0,"",Q130/Capacity!Q88)</f>
        <v>13.38453642</v>
      </c>
      <c r="R147" s="86">
        <f>IF(Capacity!R88=0,"",R130/Capacity!R88)</f>
        <v>13.3250272</v>
      </c>
      <c r="S147" s="86">
        <f>IF(Capacity!S88=0,"",S130/Capacity!S88)</f>
        <v>13.26554427</v>
      </c>
      <c r="T147" s="86">
        <f>IF(Capacity!T88=0,"",T130/Capacity!T88)</f>
        <v>13.21259844</v>
      </c>
      <c r="U147" s="86">
        <f>IF(Capacity!U88=0,"",U130/Capacity!U88)</f>
        <v>13.15989178</v>
      </c>
      <c r="V147" s="86">
        <f>IF(Capacity!V88=0,"",V130/Capacity!V88)</f>
        <v>13.10743302</v>
      </c>
      <c r="W147" s="86">
        <f>IF(Capacity!W88=0,"",W130/Capacity!W88)</f>
        <v>13.10766413</v>
      </c>
      <c r="X147" s="86">
        <f>IF(Capacity!X88=0,"",X130/Capacity!X88)</f>
        <v>13.10952226</v>
      </c>
      <c r="Y147" s="86">
        <f>IF(Capacity!Y88=0,"",Y130/Capacity!Y88)</f>
        <v>13.40259663</v>
      </c>
      <c r="Z147" s="87">
        <f>IF(SUM(Capacity!B88:M88)=0,"",SUM(B130:M130)/SUM(Capacity!B88:M88))</f>
        <v>13.31557727</v>
      </c>
      <c r="AA147" s="87">
        <f>IF(SUM(Capacity!N88:Y88)=0,"",SUM(N130:Y130)/SUM(Capacity!N88:Y88))</f>
        <v>13.33295786</v>
      </c>
    </row>
    <row r="148" outlineLevel="1">
      <c r="A148" s="3"/>
    </row>
    <row r="149">
      <c r="A149" s="4" t="s">
        <v>443</v>
      </c>
      <c r="B149" s="46"/>
      <c r="C149" s="46"/>
      <c r="D149" s="46"/>
      <c r="E149" s="46"/>
      <c r="F149" s="46"/>
      <c r="G149" s="46"/>
      <c r="H149" s="46"/>
      <c r="I149" s="46"/>
      <c r="J149" s="46"/>
      <c r="K149" s="46"/>
      <c r="L149" s="46"/>
      <c r="M149" s="46"/>
      <c r="N149" s="46"/>
      <c r="O149" s="46"/>
      <c r="P149" s="46"/>
      <c r="Q149" s="46"/>
      <c r="R149" s="46"/>
      <c r="S149" s="46"/>
      <c r="T149" s="46"/>
      <c r="U149" s="46"/>
      <c r="V149" s="46"/>
      <c r="W149" s="46"/>
      <c r="X149" s="46"/>
      <c r="Y149" s="46"/>
      <c r="Z149" s="46"/>
      <c r="AA149" s="46"/>
    </row>
    <row r="150">
      <c r="A150" s="6" t="s">
        <v>444</v>
      </c>
    </row>
    <row r="151">
      <c r="A151" s="6" t="s">
        <v>445</v>
      </c>
    </row>
    <row r="152">
      <c r="A152" s="6" t="s">
        <v>446</v>
      </c>
    </row>
    <row r="153">
      <c r="A153" s="6" t="s">
        <v>447</v>
      </c>
    </row>
    <row r="154">
      <c r="A154" s="6" t="s">
        <v>448</v>
      </c>
    </row>
    <row r="155">
      <c r="A155" s="6" t="s">
        <v>449</v>
      </c>
    </row>
    <row r="156">
      <c r="A156" s="6" t="s">
        <v>450</v>
      </c>
    </row>
    <row r="157">
      <c r="A157" s="6" t="s">
        <v>451</v>
      </c>
    </row>
    <row r="158">
      <c r="A158" s="6" t="s">
        <v>452</v>
      </c>
    </row>
    <row r="159">
      <c r="A159" s="6" t="s">
        <v>453</v>
      </c>
    </row>
  </sheetData>
  <conditionalFormatting sqref="B123:Y123">
    <cfRule type="expression" dxfId="0" priority="1" stopIfTrue="1">
      <formula>AND(B123&lt;&gt;"",B123&lt;&gt;"OK")</formula>
    </cfRule>
  </conditionalFormatting>
  <conditionalFormatting sqref="B34:I34">
    <cfRule type="cellIs" dxfId="0" priority="2" stopIfTrue="1" operator="equal">
      <formula>"Below target"</formula>
    </cfRule>
  </conditionalFormatting>
  <conditionalFormatting sqref="B95:Y95">
    <cfRule type="expression" dxfId="0" priority="3" stopIfTrue="1">
      <formula>AND(B95&lt;&gt;"",B95&lt;&gt;"OK")</formula>
    </cfRule>
  </conditionalFormatting>
  <conditionalFormatting sqref="B23:I23">
    <cfRule type="cellIs" dxfId="0" priority="4" stopIfTrue="1" operator="equal">
      <formula>"Below target"</formula>
    </cfRule>
  </conditionalFormatting>
  <conditionalFormatting sqref="B67:Y67">
    <cfRule type="expression" dxfId="0" priority="5" stopIfTrue="1">
      <formula>AND(B67&lt;&gt;"",B67&lt;&gt;"OK")</formula>
    </cfRule>
  </conditionalFormatting>
  <conditionalFormatting sqref="B12:I12">
    <cfRule type="cellIs" dxfId="0" priority="6" stopIfTrue="1" operator="equal">
      <formula>"Below target"</formula>
    </cfRule>
  </conditionalFormatting>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ySplit="2.0" topLeftCell="B3" activePane="bottomRight" state="frozen"/>
      <selection activeCell="B1" sqref="B1" pane="topRight"/>
      <selection activeCell="A3" sqref="A3" pane="bottomLeft"/>
      <selection activeCell="B3" sqref="B3" pane="bottomRight"/>
    </sheetView>
  </sheetViews>
  <sheetFormatPr customHeight="1" defaultColWidth="14.43" defaultRowHeight="15.0" outlineLevelRow="1"/>
  <cols>
    <col customWidth="1" min="1" max="1" width="74.43"/>
    <col customWidth="1" min="2" max="27" width="14.43"/>
  </cols>
  <sheetData>
    <row r="1">
      <c r="A1" s="1" t="s">
        <v>454</v>
      </c>
    </row>
    <row r="2">
      <c r="A2" s="4" t="s">
        <v>294</v>
      </c>
      <c r="B2" s="67">
        <v>1.0</v>
      </c>
      <c r="C2" s="46">
        <f t="shared" ref="C2:Y2" si="1">B2+1</f>
        <v>2</v>
      </c>
      <c r="D2" s="46">
        <f t="shared" si="1"/>
        <v>3</v>
      </c>
      <c r="E2" s="46">
        <f t="shared" si="1"/>
        <v>4</v>
      </c>
      <c r="F2" s="46">
        <f t="shared" si="1"/>
        <v>5</v>
      </c>
      <c r="G2" s="46">
        <f t="shared" si="1"/>
        <v>6</v>
      </c>
      <c r="H2" s="46">
        <f t="shared" si="1"/>
        <v>7</v>
      </c>
      <c r="I2" s="46">
        <f t="shared" si="1"/>
        <v>8</v>
      </c>
      <c r="J2" s="46">
        <f t="shared" si="1"/>
        <v>9</v>
      </c>
      <c r="K2" s="46">
        <f t="shared" si="1"/>
        <v>10</v>
      </c>
      <c r="L2" s="46">
        <f t="shared" si="1"/>
        <v>11</v>
      </c>
      <c r="M2" s="46">
        <f t="shared" si="1"/>
        <v>12</v>
      </c>
      <c r="N2" s="46">
        <f t="shared" si="1"/>
        <v>13</v>
      </c>
      <c r="O2" s="46">
        <f t="shared" si="1"/>
        <v>14</v>
      </c>
      <c r="P2" s="46">
        <f t="shared" si="1"/>
        <v>15</v>
      </c>
      <c r="Q2" s="46">
        <f t="shared" si="1"/>
        <v>16</v>
      </c>
      <c r="R2" s="46">
        <f t="shared" si="1"/>
        <v>17</v>
      </c>
      <c r="S2" s="46">
        <f t="shared" si="1"/>
        <v>18</v>
      </c>
      <c r="T2" s="46">
        <f t="shared" si="1"/>
        <v>19</v>
      </c>
      <c r="U2" s="46">
        <f t="shared" si="1"/>
        <v>20</v>
      </c>
      <c r="V2" s="46">
        <f t="shared" si="1"/>
        <v>21</v>
      </c>
      <c r="W2" s="46">
        <f t="shared" si="1"/>
        <v>22</v>
      </c>
      <c r="X2" s="46">
        <f t="shared" si="1"/>
        <v>23</v>
      </c>
      <c r="Y2" s="46">
        <f t="shared" si="1"/>
        <v>24</v>
      </c>
      <c r="Z2" s="68" t="s">
        <v>119</v>
      </c>
      <c r="AA2" s="68" t="s">
        <v>120</v>
      </c>
    </row>
    <row r="3">
      <c r="A3" s="38" t="s">
        <v>295</v>
      </c>
      <c r="B3" s="69">
        <f t="shared" ref="B3:Y3" si="2">ROUNDUP(B$2/3,0)</f>
        <v>1</v>
      </c>
      <c r="C3" s="69">
        <f t="shared" si="2"/>
        <v>1</v>
      </c>
      <c r="D3" s="69">
        <f t="shared" si="2"/>
        <v>1</v>
      </c>
      <c r="E3" s="69">
        <f t="shared" si="2"/>
        <v>2</v>
      </c>
      <c r="F3" s="69">
        <f t="shared" si="2"/>
        <v>2</v>
      </c>
      <c r="G3" s="69">
        <f t="shared" si="2"/>
        <v>2</v>
      </c>
      <c r="H3" s="69">
        <f t="shared" si="2"/>
        <v>3</v>
      </c>
      <c r="I3" s="69">
        <f t="shared" si="2"/>
        <v>3</v>
      </c>
      <c r="J3" s="69">
        <f t="shared" si="2"/>
        <v>3</v>
      </c>
      <c r="K3" s="69">
        <f t="shared" si="2"/>
        <v>4</v>
      </c>
      <c r="L3" s="69">
        <f t="shared" si="2"/>
        <v>4</v>
      </c>
      <c r="M3" s="69">
        <f t="shared" si="2"/>
        <v>4</v>
      </c>
      <c r="N3" s="69">
        <f t="shared" si="2"/>
        <v>5</v>
      </c>
      <c r="O3" s="69">
        <f t="shared" si="2"/>
        <v>5</v>
      </c>
      <c r="P3" s="69">
        <f t="shared" si="2"/>
        <v>5</v>
      </c>
      <c r="Q3" s="69">
        <f t="shared" si="2"/>
        <v>6</v>
      </c>
      <c r="R3" s="69">
        <f t="shared" si="2"/>
        <v>6</v>
      </c>
      <c r="S3" s="69">
        <f t="shared" si="2"/>
        <v>6</v>
      </c>
      <c r="T3" s="69">
        <f t="shared" si="2"/>
        <v>7</v>
      </c>
      <c r="U3" s="69">
        <f t="shared" si="2"/>
        <v>7</v>
      </c>
      <c r="V3" s="69">
        <f t="shared" si="2"/>
        <v>7</v>
      </c>
      <c r="W3" s="69">
        <f t="shared" si="2"/>
        <v>8</v>
      </c>
      <c r="X3" s="69">
        <f t="shared" si="2"/>
        <v>8</v>
      </c>
      <c r="Y3" s="69">
        <f t="shared" si="2"/>
        <v>8</v>
      </c>
      <c r="Z3" s="69"/>
      <c r="AA3" s="69"/>
    </row>
    <row r="4">
      <c r="A4" s="38" t="s">
        <v>296</v>
      </c>
      <c r="B4" s="69">
        <f t="shared" ref="B4:Y4" si="3">ROUNDUP(B$2/12,0)</f>
        <v>1</v>
      </c>
      <c r="C4" s="69">
        <f t="shared" si="3"/>
        <v>1</v>
      </c>
      <c r="D4" s="69">
        <f t="shared" si="3"/>
        <v>1</v>
      </c>
      <c r="E4" s="69">
        <f t="shared" si="3"/>
        <v>1</v>
      </c>
      <c r="F4" s="69">
        <f t="shared" si="3"/>
        <v>1</v>
      </c>
      <c r="G4" s="69">
        <f t="shared" si="3"/>
        <v>1</v>
      </c>
      <c r="H4" s="69">
        <f t="shared" si="3"/>
        <v>1</v>
      </c>
      <c r="I4" s="69">
        <f t="shared" si="3"/>
        <v>1</v>
      </c>
      <c r="J4" s="69">
        <f t="shared" si="3"/>
        <v>1</v>
      </c>
      <c r="K4" s="69">
        <f t="shared" si="3"/>
        <v>1</v>
      </c>
      <c r="L4" s="69">
        <f t="shared" si="3"/>
        <v>1</v>
      </c>
      <c r="M4" s="69">
        <f t="shared" si="3"/>
        <v>1</v>
      </c>
      <c r="N4" s="69">
        <f t="shared" si="3"/>
        <v>2</v>
      </c>
      <c r="O4" s="69">
        <f t="shared" si="3"/>
        <v>2</v>
      </c>
      <c r="P4" s="69">
        <f t="shared" si="3"/>
        <v>2</v>
      </c>
      <c r="Q4" s="69">
        <f t="shared" si="3"/>
        <v>2</v>
      </c>
      <c r="R4" s="69">
        <f t="shared" si="3"/>
        <v>2</v>
      </c>
      <c r="S4" s="69">
        <f t="shared" si="3"/>
        <v>2</v>
      </c>
      <c r="T4" s="69">
        <f t="shared" si="3"/>
        <v>2</v>
      </c>
      <c r="U4" s="69">
        <f t="shared" si="3"/>
        <v>2</v>
      </c>
      <c r="V4" s="69">
        <f t="shared" si="3"/>
        <v>2</v>
      </c>
      <c r="W4" s="69">
        <f t="shared" si="3"/>
        <v>2</v>
      </c>
      <c r="X4" s="69">
        <f t="shared" si="3"/>
        <v>2</v>
      </c>
      <c r="Y4" s="69">
        <f t="shared" si="3"/>
        <v>2</v>
      </c>
      <c r="Z4" s="69"/>
      <c r="AA4" s="69"/>
    </row>
    <row r="5">
      <c r="A5" s="4" t="s">
        <v>455</v>
      </c>
      <c r="B5" s="92" t="s">
        <v>3</v>
      </c>
      <c r="C5" s="92" t="s">
        <v>4</v>
      </c>
      <c r="D5" s="93" t="s">
        <v>5</v>
      </c>
      <c r="E5" s="93" t="s">
        <v>6</v>
      </c>
      <c r="F5" s="92" t="s">
        <v>456</v>
      </c>
    </row>
    <row r="6">
      <c r="A6" s="12" t="s">
        <v>457</v>
      </c>
      <c r="B6" s="71">
        <f>Inputs!$B$9</f>
        <v>6000000</v>
      </c>
      <c r="C6" s="71">
        <f>M79-Inputs!$B$8</f>
        <v>6586373.437</v>
      </c>
      <c r="D6" s="81">
        <f>M77-Inputs!$B$8</f>
        <v>6586373.437</v>
      </c>
      <c r="E6" s="81">
        <f t="shared" ref="E6:E9" si="4">D6-B6</f>
        <v>586373.4369</v>
      </c>
      <c r="F6" s="71">
        <f t="shared" ref="F6:F9" si="5">C6-B6</f>
        <v>586373.4369</v>
      </c>
    </row>
    <row r="7">
      <c r="A7" s="12" t="s">
        <v>458</v>
      </c>
      <c r="B7" s="71">
        <f>Inputs!$B$10</f>
        <v>8000000</v>
      </c>
      <c r="C7" s="71">
        <f>Y79-M79</f>
        <v>8340969.953</v>
      </c>
      <c r="D7" s="81">
        <f>Y77-M77</f>
        <v>8340969.953</v>
      </c>
      <c r="E7" s="81">
        <f t="shared" si="4"/>
        <v>340969.9534</v>
      </c>
      <c r="F7" s="71">
        <f t="shared" si="5"/>
        <v>340969.9534</v>
      </c>
    </row>
    <row r="8">
      <c r="A8" s="6" t="s">
        <v>9</v>
      </c>
      <c r="B8" s="70">
        <f>Inputs!$B$8+Inputs!$B$9</f>
        <v>15000000</v>
      </c>
      <c r="C8" s="70">
        <f>M79</f>
        <v>15586373.44</v>
      </c>
      <c r="D8" s="94">
        <f>M77</f>
        <v>15586373.44</v>
      </c>
      <c r="E8" s="94">
        <f t="shared" si="4"/>
        <v>586373.4369</v>
      </c>
      <c r="F8" s="70">
        <f t="shared" si="5"/>
        <v>586373.4369</v>
      </c>
    </row>
    <row r="9">
      <c r="A9" s="6" t="s">
        <v>10</v>
      </c>
      <c r="B9" s="70">
        <f>Inputs!$B$8+Inputs!$B$9+Inputs!$B$10</f>
        <v>23000000</v>
      </c>
      <c r="C9" s="70">
        <f>Y79</f>
        <v>23927343.39</v>
      </c>
      <c r="D9" s="94">
        <f>Y77</f>
        <v>23927343.39</v>
      </c>
      <c r="E9" s="94">
        <f t="shared" si="4"/>
        <v>927343.3903</v>
      </c>
      <c r="F9" s="70">
        <f t="shared" si="5"/>
        <v>927343.3903</v>
      </c>
    </row>
    <row r="10">
      <c r="A10" s="6" t="s">
        <v>459</v>
      </c>
      <c r="B10" s="70"/>
      <c r="C10" s="70">
        <f>Capacity!Z84</f>
        <v>6308339.311</v>
      </c>
      <c r="D10" s="94">
        <f>Z72</f>
        <v>6308339.311</v>
      </c>
      <c r="E10" s="94"/>
      <c r="F10" s="70"/>
    </row>
    <row r="11">
      <c r="A11" s="6" t="s">
        <v>460</v>
      </c>
      <c r="B11" s="70"/>
      <c r="C11" s="70">
        <f>Capacity!AA84</f>
        <v>7884706.969</v>
      </c>
      <c r="D11" s="94">
        <f>AA72</f>
        <v>7884706.969</v>
      </c>
      <c r="E11" s="94"/>
      <c r="F11" s="70"/>
    </row>
    <row r="12">
      <c r="A12" s="3"/>
    </row>
    <row r="13">
      <c r="A13" s="4" t="s">
        <v>461</v>
      </c>
      <c r="B13" s="68" t="s">
        <v>462</v>
      </c>
    </row>
    <row r="14">
      <c r="A14" s="6" t="s">
        <v>463</v>
      </c>
      <c r="B14" s="95">
        <f t="shared" ref="B14:B15" si="6">M92</f>
        <v>0.9022385895</v>
      </c>
    </row>
    <row r="15">
      <c r="A15" s="6" t="s">
        <v>464</v>
      </c>
      <c r="B15" s="95">
        <f t="shared" si="6"/>
        <v>1.024307123</v>
      </c>
    </row>
    <row r="16">
      <c r="A16" s="6" t="s">
        <v>465</v>
      </c>
      <c r="B16" s="95">
        <f t="shared" ref="B16:B17" si="7">Y92</f>
        <v>0.9030737263</v>
      </c>
    </row>
    <row r="17">
      <c r="A17" s="6" t="s">
        <v>466</v>
      </c>
      <c r="B17" s="95">
        <f t="shared" si="7"/>
        <v>1.024531312</v>
      </c>
    </row>
    <row r="18">
      <c r="A18" s="3"/>
    </row>
    <row r="19">
      <c r="A19" s="4" t="s">
        <v>467</v>
      </c>
      <c r="B19" s="92" t="s">
        <v>468</v>
      </c>
      <c r="C19" s="92" t="s">
        <v>469</v>
      </c>
      <c r="D19" s="92" t="s">
        <v>470</v>
      </c>
    </row>
    <row r="20">
      <c r="A20" s="6" t="s">
        <v>471</v>
      </c>
      <c r="B20" s="70">
        <f>Funnel!Z140</f>
        <v>6372764.184</v>
      </c>
      <c r="C20" s="70">
        <f>Z78</f>
        <v>6308339.311</v>
      </c>
      <c r="D20" s="70">
        <f t="shared" ref="D20:D21" si="8">B20-C20</f>
        <v>64424.87309</v>
      </c>
    </row>
    <row r="21">
      <c r="A21" s="6" t="s">
        <v>472</v>
      </c>
      <c r="B21" s="70">
        <f>Funnel!AA140</f>
        <v>7884706.969</v>
      </c>
      <c r="C21" s="70">
        <f>AA78</f>
        <v>7884706.969</v>
      </c>
      <c r="D21" s="70">
        <f t="shared" si="8"/>
        <v>0</v>
      </c>
    </row>
    <row r="22">
      <c r="A22" s="3"/>
    </row>
    <row r="23">
      <c r="A23" s="4" t="s">
        <v>473</v>
      </c>
      <c r="B23" s="68" t="s">
        <v>474</v>
      </c>
      <c r="C23" s="68" t="s">
        <v>475</v>
      </c>
      <c r="D23" s="68" t="s">
        <v>476</v>
      </c>
    </row>
    <row r="24">
      <c r="A24" s="6" t="s">
        <v>15</v>
      </c>
      <c r="B24" s="73">
        <f>COUNTIF(Funnel!$B$67:$Y$67,"*Pipeline*")</f>
        <v>0</v>
      </c>
      <c r="C24" s="73">
        <f>COUNTIF(Funnel!$B$67:$Y$67,"*Rep load*")</f>
        <v>0</v>
      </c>
      <c r="D24" s="73">
        <f>COUNTIF(Funnel!$B$67:$Y$67,"OK")</f>
        <v>24</v>
      </c>
    </row>
    <row r="25">
      <c r="A25" s="6" t="s">
        <v>16</v>
      </c>
      <c r="B25" s="73">
        <f>COUNTIF(Funnel!$B$95:$Y$95,"*Pipeline*")</f>
        <v>0</v>
      </c>
      <c r="C25" s="73">
        <f>COUNTIF(Funnel!$B$95:$Y$95,"*Rep load*")</f>
        <v>0</v>
      </c>
      <c r="D25" s="73">
        <f>COUNTIF(Funnel!$B$95:$Y$95,"OK")</f>
        <v>24</v>
      </c>
    </row>
    <row r="26">
      <c r="A26" s="6" t="s">
        <v>17</v>
      </c>
      <c r="B26" s="73">
        <f>COUNTIF(Funnel!$B$123:$Y$123,"*Pipeline*")</f>
        <v>0</v>
      </c>
      <c r="C26" s="73">
        <f>COUNTIF(Funnel!$B$123:$Y$123,"*Rep load*")</f>
        <v>0</v>
      </c>
      <c r="D26" s="73">
        <f>COUNTIF(Funnel!$B$123:$Y$123,"OK")</f>
        <v>24</v>
      </c>
    </row>
    <row r="27">
      <c r="A27" s="3"/>
    </row>
    <row r="28">
      <c r="A28" s="4" t="s">
        <v>477</v>
      </c>
      <c r="B28" s="46"/>
      <c r="C28" s="46"/>
      <c r="D28" s="46"/>
      <c r="E28" s="46"/>
      <c r="F28" s="46"/>
      <c r="G28" s="46"/>
      <c r="H28" s="46"/>
      <c r="I28" s="46"/>
      <c r="J28" s="46"/>
      <c r="K28" s="46"/>
      <c r="L28" s="46"/>
      <c r="M28" s="46"/>
      <c r="N28" s="46"/>
      <c r="O28" s="46"/>
      <c r="P28" s="46"/>
      <c r="Q28" s="46"/>
      <c r="R28" s="46"/>
      <c r="S28" s="46"/>
      <c r="T28" s="46"/>
      <c r="U28" s="46"/>
      <c r="V28" s="46"/>
      <c r="W28" s="46"/>
      <c r="X28" s="46"/>
      <c r="Y28" s="46"/>
      <c r="Z28" s="46"/>
      <c r="AA28" s="46"/>
    </row>
    <row r="29">
      <c r="A29" s="6" t="s">
        <v>3</v>
      </c>
      <c r="B29" s="70">
        <f>IF(B$2&lt;=12,Inputs!$B$8+Inputs!$B$9*B$2/12,Inputs!$B$8+Inputs!$B$9+Inputs!$B$10*(B$2-12)/12)</f>
        <v>9500000</v>
      </c>
      <c r="C29" s="70">
        <f>IF(C$2&lt;=12,Inputs!$B$8+Inputs!$B$9*C$2/12,Inputs!$B$8+Inputs!$B$9+Inputs!$B$10*(C$2-12)/12)</f>
        <v>10000000</v>
      </c>
      <c r="D29" s="70">
        <f>IF(D$2&lt;=12,Inputs!$B$8+Inputs!$B$9*D$2/12,Inputs!$B$8+Inputs!$B$9+Inputs!$B$10*(D$2-12)/12)</f>
        <v>10500000</v>
      </c>
      <c r="E29" s="70">
        <f>IF(E$2&lt;=12,Inputs!$B$8+Inputs!$B$9*E$2/12,Inputs!$B$8+Inputs!$B$9+Inputs!$B$10*(E$2-12)/12)</f>
        <v>11000000</v>
      </c>
      <c r="F29" s="70">
        <f>IF(F$2&lt;=12,Inputs!$B$8+Inputs!$B$9*F$2/12,Inputs!$B$8+Inputs!$B$9+Inputs!$B$10*(F$2-12)/12)</f>
        <v>11500000</v>
      </c>
      <c r="G29" s="70">
        <f>IF(G$2&lt;=12,Inputs!$B$8+Inputs!$B$9*G$2/12,Inputs!$B$8+Inputs!$B$9+Inputs!$B$10*(G$2-12)/12)</f>
        <v>12000000</v>
      </c>
      <c r="H29" s="70">
        <f>IF(H$2&lt;=12,Inputs!$B$8+Inputs!$B$9*H$2/12,Inputs!$B$8+Inputs!$B$9+Inputs!$B$10*(H$2-12)/12)</f>
        <v>12500000</v>
      </c>
      <c r="I29" s="70">
        <f>IF(I$2&lt;=12,Inputs!$B$8+Inputs!$B$9*I$2/12,Inputs!$B$8+Inputs!$B$9+Inputs!$B$10*(I$2-12)/12)</f>
        <v>13000000</v>
      </c>
      <c r="J29" s="70">
        <f>IF(J$2&lt;=12,Inputs!$B$8+Inputs!$B$9*J$2/12,Inputs!$B$8+Inputs!$B$9+Inputs!$B$10*(J$2-12)/12)</f>
        <v>13500000</v>
      </c>
      <c r="K29" s="70">
        <f>IF(K$2&lt;=12,Inputs!$B$8+Inputs!$B$9*K$2/12,Inputs!$B$8+Inputs!$B$9+Inputs!$B$10*(K$2-12)/12)</f>
        <v>14000000</v>
      </c>
      <c r="L29" s="70">
        <f>IF(L$2&lt;=12,Inputs!$B$8+Inputs!$B$9*L$2/12,Inputs!$B$8+Inputs!$B$9+Inputs!$B$10*(L$2-12)/12)</f>
        <v>14500000</v>
      </c>
      <c r="M29" s="70">
        <f>IF(M$2&lt;=12,Inputs!$B$8+Inputs!$B$9*M$2/12,Inputs!$B$8+Inputs!$B$9+Inputs!$B$10*(M$2-12)/12)</f>
        <v>15000000</v>
      </c>
      <c r="N29" s="70">
        <f>IF(N$2&lt;=12,Inputs!$B$8+Inputs!$B$9*N$2/12,Inputs!$B$8+Inputs!$B$9+Inputs!$B$10*(N$2-12)/12)</f>
        <v>15666666.67</v>
      </c>
      <c r="O29" s="70">
        <f>IF(O$2&lt;=12,Inputs!$B$8+Inputs!$B$9*O$2/12,Inputs!$B$8+Inputs!$B$9+Inputs!$B$10*(O$2-12)/12)</f>
        <v>16333333.33</v>
      </c>
      <c r="P29" s="70">
        <f>IF(P$2&lt;=12,Inputs!$B$8+Inputs!$B$9*P$2/12,Inputs!$B$8+Inputs!$B$9+Inputs!$B$10*(P$2-12)/12)</f>
        <v>17000000</v>
      </c>
      <c r="Q29" s="70">
        <f>IF(Q$2&lt;=12,Inputs!$B$8+Inputs!$B$9*Q$2/12,Inputs!$B$8+Inputs!$B$9+Inputs!$B$10*(Q$2-12)/12)</f>
        <v>17666666.67</v>
      </c>
      <c r="R29" s="70">
        <f>IF(R$2&lt;=12,Inputs!$B$8+Inputs!$B$9*R$2/12,Inputs!$B$8+Inputs!$B$9+Inputs!$B$10*(R$2-12)/12)</f>
        <v>18333333.33</v>
      </c>
      <c r="S29" s="70">
        <f>IF(S$2&lt;=12,Inputs!$B$8+Inputs!$B$9*S$2/12,Inputs!$B$8+Inputs!$B$9+Inputs!$B$10*(S$2-12)/12)</f>
        <v>19000000</v>
      </c>
      <c r="T29" s="70">
        <f>IF(T$2&lt;=12,Inputs!$B$8+Inputs!$B$9*T$2/12,Inputs!$B$8+Inputs!$B$9+Inputs!$B$10*(T$2-12)/12)</f>
        <v>19666666.67</v>
      </c>
      <c r="U29" s="70">
        <f>IF(U$2&lt;=12,Inputs!$B$8+Inputs!$B$9*U$2/12,Inputs!$B$8+Inputs!$B$9+Inputs!$B$10*(U$2-12)/12)</f>
        <v>20333333.33</v>
      </c>
      <c r="V29" s="70">
        <f>IF(V$2&lt;=12,Inputs!$B$8+Inputs!$B$9*V$2/12,Inputs!$B$8+Inputs!$B$9+Inputs!$B$10*(V$2-12)/12)</f>
        <v>21000000</v>
      </c>
      <c r="W29" s="70">
        <f>IF(W$2&lt;=12,Inputs!$B$8+Inputs!$B$9*W$2/12,Inputs!$B$8+Inputs!$B$9+Inputs!$B$10*(W$2-12)/12)</f>
        <v>21666666.67</v>
      </c>
      <c r="X29" s="70">
        <f>IF(X$2&lt;=12,Inputs!$B$8+Inputs!$B$9*X$2/12,Inputs!$B$8+Inputs!$B$9+Inputs!$B$10*(X$2-12)/12)</f>
        <v>22333333.33</v>
      </c>
      <c r="Y29" s="70">
        <f>IF(Y$2&lt;=12,Inputs!$B$8+Inputs!$B$9*Y$2/12,Inputs!$B$8+Inputs!$B$9+Inputs!$B$10*(Y$2-12)/12)</f>
        <v>23000000</v>
      </c>
      <c r="Z29" s="70"/>
      <c r="AA29" s="70"/>
    </row>
    <row r="30">
      <c r="A30" s="6" t="s">
        <v>4</v>
      </c>
      <c r="B30" s="70">
        <f t="shared" ref="B30:Y30" si="9">B79</f>
        <v>9420790.686</v>
      </c>
      <c r="C30" s="70">
        <f t="shared" si="9"/>
        <v>9835576.132</v>
      </c>
      <c r="D30" s="70">
        <f t="shared" si="9"/>
        <v>10309627.78</v>
      </c>
      <c r="E30" s="70">
        <f t="shared" si="9"/>
        <v>10838996.9</v>
      </c>
      <c r="F30" s="70">
        <f t="shared" si="9"/>
        <v>11358544.32</v>
      </c>
      <c r="G30" s="70">
        <f t="shared" si="9"/>
        <v>11901092.83</v>
      </c>
      <c r="H30" s="70">
        <f t="shared" si="9"/>
        <v>12464850.08</v>
      </c>
      <c r="I30" s="70">
        <f t="shared" si="9"/>
        <v>13051531.79</v>
      </c>
      <c r="J30" s="70">
        <f t="shared" si="9"/>
        <v>13660691.86</v>
      </c>
      <c r="K30" s="70">
        <f t="shared" si="9"/>
        <v>14291890.98</v>
      </c>
      <c r="L30" s="70">
        <f t="shared" si="9"/>
        <v>14944696.65</v>
      </c>
      <c r="M30" s="70">
        <f t="shared" si="9"/>
        <v>15586373.44</v>
      </c>
      <c r="N30" s="70">
        <f t="shared" si="9"/>
        <v>16217209.97</v>
      </c>
      <c r="O30" s="70">
        <f t="shared" si="9"/>
        <v>16837487.5</v>
      </c>
      <c r="P30" s="70">
        <f t="shared" si="9"/>
        <v>17480045.57</v>
      </c>
      <c r="Q30" s="70">
        <f t="shared" si="9"/>
        <v>18143108.24</v>
      </c>
      <c r="R30" s="70">
        <f t="shared" si="9"/>
        <v>18838858.43</v>
      </c>
      <c r="S30" s="70">
        <f t="shared" si="9"/>
        <v>19566156.74</v>
      </c>
      <c r="T30" s="70">
        <f t="shared" si="9"/>
        <v>20323894.86</v>
      </c>
      <c r="U30" s="70">
        <f t="shared" si="9"/>
        <v>21068853.25</v>
      </c>
      <c r="V30" s="70">
        <f t="shared" si="9"/>
        <v>21801360.71</v>
      </c>
      <c r="W30" s="70">
        <f t="shared" si="9"/>
        <v>22521737.84</v>
      </c>
      <c r="X30" s="70">
        <f t="shared" si="9"/>
        <v>23230297.15</v>
      </c>
      <c r="Y30" s="70">
        <f t="shared" si="9"/>
        <v>23927343.39</v>
      </c>
      <c r="Z30" s="70"/>
      <c r="AA30" s="70"/>
    </row>
    <row r="31">
      <c r="A31" s="6" t="s">
        <v>5</v>
      </c>
      <c r="B31" s="70">
        <f t="shared" ref="B31:Y31" si="10">B77</f>
        <v>9420790.686</v>
      </c>
      <c r="C31" s="70">
        <f t="shared" si="10"/>
        <v>9835576.132</v>
      </c>
      <c r="D31" s="70">
        <f t="shared" si="10"/>
        <v>10309627.78</v>
      </c>
      <c r="E31" s="70">
        <f t="shared" si="10"/>
        <v>10838996.9</v>
      </c>
      <c r="F31" s="70">
        <f t="shared" si="10"/>
        <v>11358544.32</v>
      </c>
      <c r="G31" s="70">
        <f t="shared" si="10"/>
        <v>11901092.83</v>
      </c>
      <c r="H31" s="70">
        <f t="shared" si="10"/>
        <v>12464850.08</v>
      </c>
      <c r="I31" s="70">
        <f t="shared" si="10"/>
        <v>13051531.79</v>
      </c>
      <c r="J31" s="70">
        <f t="shared" si="10"/>
        <v>13660691.86</v>
      </c>
      <c r="K31" s="70">
        <f t="shared" si="10"/>
        <v>14291890.98</v>
      </c>
      <c r="L31" s="70">
        <f t="shared" si="10"/>
        <v>14944696.65</v>
      </c>
      <c r="M31" s="70">
        <f t="shared" si="10"/>
        <v>15586373.44</v>
      </c>
      <c r="N31" s="70">
        <f t="shared" si="10"/>
        <v>16217209.97</v>
      </c>
      <c r="O31" s="70">
        <f t="shared" si="10"/>
        <v>16837487.5</v>
      </c>
      <c r="P31" s="70">
        <f t="shared" si="10"/>
        <v>17480045.57</v>
      </c>
      <c r="Q31" s="70">
        <f t="shared" si="10"/>
        <v>18143108.24</v>
      </c>
      <c r="R31" s="70">
        <f t="shared" si="10"/>
        <v>18838858.43</v>
      </c>
      <c r="S31" s="70">
        <f t="shared" si="10"/>
        <v>19566156.74</v>
      </c>
      <c r="T31" s="70">
        <f t="shared" si="10"/>
        <v>20323894.86</v>
      </c>
      <c r="U31" s="70">
        <f t="shared" si="10"/>
        <v>21068853.25</v>
      </c>
      <c r="V31" s="70">
        <f t="shared" si="10"/>
        <v>21801360.71</v>
      </c>
      <c r="W31" s="70">
        <f t="shared" si="10"/>
        <v>22521737.84</v>
      </c>
      <c r="X31" s="70">
        <f t="shared" si="10"/>
        <v>23230297.15</v>
      </c>
      <c r="Y31" s="70">
        <f t="shared" si="10"/>
        <v>23927343.39</v>
      </c>
      <c r="Z31" s="70"/>
      <c r="AA31" s="70"/>
    </row>
    <row r="32">
      <c r="A32" s="12" t="s">
        <v>295</v>
      </c>
      <c r="B32" s="82">
        <v>1.0</v>
      </c>
      <c r="C32" s="83">
        <f t="shared" ref="C32:I32" si="11">B32+1</f>
        <v>2</v>
      </c>
      <c r="D32" s="83">
        <f t="shared" si="11"/>
        <v>3</v>
      </c>
      <c r="E32" s="83">
        <f t="shared" si="11"/>
        <v>4</v>
      </c>
      <c r="F32" s="83">
        <f t="shared" si="11"/>
        <v>5</v>
      </c>
      <c r="G32" s="83">
        <f t="shared" si="11"/>
        <v>6</v>
      </c>
      <c r="H32" s="83">
        <f t="shared" si="11"/>
        <v>7</v>
      </c>
      <c r="I32" s="83">
        <f t="shared" si="11"/>
        <v>8</v>
      </c>
    </row>
    <row r="33">
      <c r="A33" s="6" t="s">
        <v>15</v>
      </c>
      <c r="B33" s="70">
        <f t="shared" ref="B33:I33" si="12">SUMIFS($B$39:$Y$39,$B$3:$Y$3,B$32)</f>
        <v>260580.9382</v>
      </c>
      <c r="C33" s="70">
        <f t="shared" si="12"/>
        <v>579681.899</v>
      </c>
      <c r="D33" s="70">
        <f t="shared" si="12"/>
        <v>684612.6322</v>
      </c>
      <c r="E33" s="70">
        <f t="shared" si="12"/>
        <v>626209.1633</v>
      </c>
      <c r="F33" s="70">
        <f t="shared" si="12"/>
        <v>605353.4473</v>
      </c>
      <c r="G33" s="70">
        <f t="shared" si="12"/>
        <v>708094.1721</v>
      </c>
      <c r="H33" s="70">
        <f t="shared" si="12"/>
        <v>647687.5216</v>
      </c>
      <c r="I33" s="70">
        <f t="shared" si="12"/>
        <v>592434.0888</v>
      </c>
    </row>
    <row r="34">
      <c r="A34" s="6" t="s">
        <v>16</v>
      </c>
      <c r="B34" s="70">
        <f t="shared" ref="B34:I34" si="13">SUMIFS($B$50:$Y$50,$B$3:$Y$3,B$32)</f>
        <v>555035.6396</v>
      </c>
      <c r="C34" s="70">
        <f t="shared" si="13"/>
        <v>524920.2988</v>
      </c>
      <c r="D34" s="70">
        <f t="shared" si="13"/>
        <v>496438.968</v>
      </c>
      <c r="E34" s="70">
        <f t="shared" si="13"/>
        <v>469502.9884</v>
      </c>
      <c r="F34" s="70">
        <f t="shared" si="13"/>
        <v>444028.5117</v>
      </c>
      <c r="G34" s="70">
        <f t="shared" si="13"/>
        <v>551972.1254</v>
      </c>
      <c r="H34" s="70">
        <f t="shared" si="13"/>
        <v>776468.7464</v>
      </c>
      <c r="I34" s="70">
        <f t="shared" si="13"/>
        <v>734338.8016</v>
      </c>
    </row>
    <row r="35">
      <c r="A35" s="6" t="s">
        <v>17</v>
      </c>
      <c r="B35" s="70">
        <f t="shared" ref="B35:I35" si="14">SUMIFS($B$61:$Y$61,$B$3:$Y$3,B$32)</f>
        <v>438001.4555</v>
      </c>
      <c r="C35" s="70">
        <f t="shared" si="14"/>
        <v>420562.2477</v>
      </c>
      <c r="D35" s="70">
        <f t="shared" si="14"/>
        <v>505224.3862</v>
      </c>
      <c r="E35" s="70">
        <f t="shared" si="14"/>
        <v>747568.6937</v>
      </c>
      <c r="F35" s="70">
        <f t="shared" si="14"/>
        <v>749678.9392</v>
      </c>
      <c r="G35" s="70">
        <f t="shared" si="14"/>
        <v>719830.1644</v>
      </c>
      <c r="H35" s="70">
        <f t="shared" si="14"/>
        <v>691169.8308</v>
      </c>
      <c r="I35" s="70">
        <f t="shared" si="14"/>
        <v>663650.6202</v>
      </c>
    </row>
    <row r="36">
      <c r="A36" s="3"/>
    </row>
    <row r="37">
      <c r="A37" s="4" t="s">
        <v>396</v>
      </c>
      <c r="B37" s="46"/>
      <c r="C37" s="46"/>
      <c r="D37" s="46"/>
      <c r="E37" s="46"/>
      <c r="F37" s="46"/>
      <c r="G37" s="46"/>
      <c r="H37" s="46"/>
      <c r="I37" s="46"/>
      <c r="J37" s="46"/>
      <c r="K37" s="46"/>
      <c r="L37" s="46"/>
      <c r="M37" s="46"/>
      <c r="N37" s="46"/>
      <c r="O37" s="46"/>
      <c r="P37" s="46"/>
      <c r="Q37" s="46"/>
      <c r="R37" s="46"/>
      <c r="S37" s="46"/>
      <c r="T37" s="46"/>
      <c r="U37" s="46"/>
      <c r="V37" s="46"/>
      <c r="W37" s="46"/>
      <c r="X37" s="46"/>
      <c r="Y37" s="46"/>
      <c r="Z37" s="46"/>
      <c r="AA37" s="46"/>
    </row>
    <row r="38" outlineLevel="1">
      <c r="A38" s="6" t="s">
        <v>478</v>
      </c>
      <c r="B38" s="70">
        <f>IF(B$2=1,Inputs!$B$8*Inputs!$B$18,A44)</f>
        <v>2700000</v>
      </c>
      <c r="C38" s="70">
        <f>IF(C$2=1,Inputs!$B$8*Inputs!$B$18,B44)</f>
        <v>2755845.784</v>
      </c>
      <c r="D38" s="70">
        <f>IF(D$2=1,Inputs!$B$8*Inputs!$B$18,C44)</f>
        <v>2809493.942</v>
      </c>
      <c r="E38" s="70">
        <f>IF(E$2=1,Inputs!$B$8*Inputs!$B$18,D44)</f>
        <v>2926142.023</v>
      </c>
      <c r="F38" s="70">
        <f>IF(F$2=1,Inputs!$B$8*Inputs!$B$18,E44)</f>
        <v>3101768.603</v>
      </c>
      <c r="G38" s="70">
        <f>IF(G$2=1,Inputs!$B$8*Inputs!$B$18,F44)</f>
        <v>3271163.032</v>
      </c>
      <c r="H38" s="70">
        <f>IF(H$2=1,Inputs!$B$8*Inputs!$B$18,G44)</f>
        <v>3467077.781</v>
      </c>
      <c r="I38" s="70">
        <f>IF(I$2=1,Inputs!$B$8*Inputs!$B$18,H44)</f>
        <v>3687651.324</v>
      </c>
      <c r="J38" s="70">
        <f>IF(J$2=1,Inputs!$B$8*Inputs!$B$18,I44)</f>
        <v>3900423.133</v>
      </c>
      <c r="K38" s="70">
        <f>IF(K$2=1,Inputs!$B$8*Inputs!$B$18,J44)</f>
        <v>4105627.279</v>
      </c>
      <c r="L38" s="70">
        <f>IF(L$2=1,Inputs!$B$8*Inputs!$B$18,K44)</f>
        <v>4303490.955</v>
      </c>
      <c r="M38" s="70">
        <f>IF(M$2=1,Inputs!$B$8*Inputs!$B$18,L44)</f>
        <v>4494234.674</v>
      </c>
      <c r="N38" s="70">
        <f>IF(N$2=1,Inputs!$B$8*Inputs!$B$18,M44)</f>
        <v>4678072.472</v>
      </c>
      <c r="O38" s="70">
        <f>IF(O$2=1,Inputs!$B$8*Inputs!$B$18,N44)</f>
        <v>4855212.092</v>
      </c>
      <c r="P38" s="70">
        <f>IF(P$2=1,Inputs!$B$8*Inputs!$B$18,O44)</f>
        <v>5025855.169</v>
      </c>
      <c r="Q38" s="70">
        <f>IF(Q$2=1,Inputs!$B$8*Inputs!$B$18,P44)</f>
        <v>5222762.837</v>
      </c>
      <c r="R38" s="70">
        <f>IF(R$2=1,Inputs!$B$8*Inputs!$B$18,Q44)</f>
        <v>5444081.97</v>
      </c>
      <c r="S38" s="70">
        <f>IF(S$2=1,Inputs!$B$8*Inputs!$B$18,R44)</f>
        <v>5657360.193</v>
      </c>
      <c r="T38" s="70">
        <f>IF(T$2=1,Inputs!$B$8*Inputs!$B$18,S44)</f>
        <v>5862839.488</v>
      </c>
      <c r="U38" s="70">
        <f>IF(U$2=1,Inputs!$B$8*Inputs!$B$18,T44)</f>
        <v>6060754.721</v>
      </c>
      <c r="V38" s="70">
        <f>IF(V$2=1,Inputs!$B$8*Inputs!$B$18,U44)</f>
        <v>6251333.853</v>
      </c>
      <c r="W38" s="70">
        <f>IF(W$2=1,Inputs!$B$8*Inputs!$B$18,V44)</f>
        <v>6434798.143</v>
      </c>
      <c r="X38" s="70">
        <f>IF(X$2=1,Inputs!$B$8*Inputs!$B$18,W44)</f>
        <v>6611362.342</v>
      </c>
      <c r="Y38" s="70">
        <f>IF(Y$2=1,Inputs!$B$8*Inputs!$B$18,X44)</f>
        <v>6781234.888</v>
      </c>
      <c r="Z38" s="71">
        <f>B38</f>
        <v>2700000</v>
      </c>
      <c r="AA38" s="71">
        <f>N38</f>
        <v>4678072.472</v>
      </c>
    </row>
    <row r="39" outlineLevel="1">
      <c r="A39" s="12" t="s">
        <v>479</v>
      </c>
      <c r="B39" s="71">
        <f>MIN(Capacity!B27,Funnel!B56)</f>
        <v>67095.78414</v>
      </c>
      <c r="C39" s="71">
        <f>MIN(Capacity!C27,Funnel!C56)</f>
        <v>65130.84852</v>
      </c>
      <c r="D39" s="71">
        <f>MIN(Capacity!D27,Funnel!D56)</f>
        <v>128354.3056</v>
      </c>
      <c r="E39" s="71">
        <f>MIN(Capacity!E27,Funnel!E56)</f>
        <v>187818.8387</v>
      </c>
      <c r="F39" s="71">
        <f>MIN(Capacity!F27,Funnel!F56)</f>
        <v>182318.4644</v>
      </c>
      <c r="G39" s="71">
        <f>MIN(Capacity!G27,Funnel!G56)</f>
        <v>209544.5958</v>
      </c>
      <c r="H39" s="71">
        <f>MIN(Capacity!H27,Funnel!H56)</f>
        <v>235019.6997</v>
      </c>
      <c r="I39" s="71">
        <f>MIN(Capacity!I27,Funnel!I56)</f>
        <v>228137.0231</v>
      </c>
      <c r="J39" s="71">
        <f>MIN(Capacity!J27,Funnel!J56)</f>
        <v>221455.9094</v>
      </c>
      <c r="K39" s="71">
        <f>MIN(Capacity!K27,Funnel!K56)</f>
        <v>214970.4556</v>
      </c>
      <c r="L39" s="71">
        <f>MIN(Capacity!L27,Funnel!L56)</f>
        <v>208674.9318</v>
      </c>
      <c r="M39" s="71">
        <f>MIN(Capacity!M27,Funnel!M56)</f>
        <v>202563.7758</v>
      </c>
      <c r="N39" s="71">
        <f>MIN(Capacity!N27,Funnel!N56)</f>
        <v>196631.5882</v>
      </c>
      <c r="O39" s="71">
        <f>MIN(Capacity!O27,Funnel!O56)</f>
        <v>190873.1278</v>
      </c>
      <c r="P39" s="71">
        <f>MIN(Capacity!P27,Funnel!P56)</f>
        <v>217848.7313</v>
      </c>
      <c r="Q39" s="71">
        <f>MIN(Capacity!Q27,Funnel!Q56)</f>
        <v>243080.6442</v>
      </c>
      <c r="R39" s="71">
        <f>MIN(Capacity!R27,Funnel!R56)</f>
        <v>235961.8986</v>
      </c>
      <c r="S39" s="71">
        <f>MIN(Capacity!S27,Funnel!S56)</f>
        <v>229051.6293</v>
      </c>
      <c r="T39" s="71">
        <f>MIN(Capacity!T27,Funnel!T56)</f>
        <v>222343.7308</v>
      </c>
      <c r="U39" s="71">
        <f>MIN(Capacity!U27,Funnel!U56)</f>
        <v>215832.2767</v>
      </c>
      <c r="V39" s="71">
        <f>MIN(Capacity!V27,Funnel!V56)</f>
        <v>209511.514</v>
      </c>
      <c r="W39" s="71">
        <f>MIN(Capacity!W27,Funnel!W56)</f>
        <v>203375.8582</v>
      </c>
      <c r="X39" s="71">
        <f>MIN(Capacity!X27,Funnel!X56)</f>
        <v>197419.8883</v>
      </c>
      <c r="Y39" s="71">
        <f>MIN(Capacity!Y27,Funnel!Y56)</f>
        <v>191638.3422</v>
      </c>
      <c r="Z39" s="71">
        <f t="shared" ref="Z39:Z43" si="15">SUM(B39:M39)</f>
        <v>2151084.633</v>
      </c>
      <c r="AA39" s="71">
        <f t="shared" ref="AA39:AA43" si="16">SUM(N39:Y39)</f>
        <v>2553569.23</v>
      </c>
    </row>
    <row r="40" outlineLevel="1">
      <c r="A40" s="6" t="s">
        <v>480</v>
      </c>
      <c r="B40" s="70">
        <f>B38*Inputs!$E$37/12</f>
        <v>22500</v>
      </c>
      <c r="C40" s="70">
        <f>C38*Inputs!$E$37/12</f>
        <v>22965.38153</v>
      </c>
      <c r="D40" s="70">
        <f>D38*Inputs!$E$37/12</f>
        <v>23412.44952</v>
      </c>
      <c r="E40" s="70">
        <f>E38*Inputs!$E$37/12</f>
        <v>24384.51686</v>
      </c>
      <c r="F40" s="70">
        <f>F38*Inputs!$E$37/12</f>
        <v>25848.07169</v>
      </c>
      <c r="G40" s="70">
        <f>G38*Inputs!$E$37/12</f>
        <v>27259.69193</v>
      </c>
      <c r="H40" s="70">
        <f>H38*Inputs!$E$37/12</f>
        <v>28892.31485</v>
      </c>
      <c r="I40" s="70">
        <f>I38*Inputs!$E$37/12</f>
        <v>30730.4277</v>
      </c>
      <c r="J40" s="70">
        <f>J38*Inputs!$E$37/12</f>
        <v>32503.52611</v>
      </c>
      <c r="K40" s="70">
        <f>K38*Inputs!$E$37/12</f>
        <v>34213.56066</v>
      </c>
      <c r="L40" s="70">
        <f>L38*Inputs!$E$37/12</f>
        <v>35862.42462</v>
      </c>
      <c r="M40" s="70">
        <f>M38*Inputs!$E$37/12</f>
        <v>37451.95562</v>
      </c>
      <c r="N40" s="70">
        <f>N38*Inputs!$E$37/12</f>
        <v>38983.93727</v>
      </c>
      <c r="O40" s="70">
        <f>O38*Inputs!$E$37/12</f>
        <v>40460.10076</v>
      </c>
      <c r="P40" s="70">
        <f>P38*Inputs!$E$37/12</f>
        <v>41882.12641</v>
      </c>
      <c r="Q40" s="70">
        <f>Q38*Inputs!$E$37/12</f>
        <v>43523.02364</v>
      </c>
      <c r="R40" s="70">
        <f>R38*Inputs!$E$37/12</f>
        <v>45367.34975</v>
      </c>
      <c r="S40" s="70">
        <f>S38*Inputs!$E$37/12</f>
        <v>47144.66828</v>
      </c>
      <c r="T40" s="70">
        <f>T38*Inputs!$E$37/12</f>
        <v>48856.99574</v>
      </c>
      <c r="U40" s="70">
        <f>U38*Inputs!$E$37/12</f>
        <v>50506.28934</v>
      </c>
      <c r="V40" s="70">
        <f>V38*Inputs!$E$37/12</f>
        <v>52094.44878</v>
      </c>
      <c r="W40" s="70">
        <f>W38*Inputs!$E$37/12</f>
        <v>53623.31786</v>
      </c>
      <c r="X40" s="70">
        <f>X38*Inputs!$E$37/12</f>
        <v>55094.68619</v>
      </c>
      <c r="Y40" s="70">
        <f>Y38*Inputs!$E$37/12</f>
        <v>56510.29073</v>
      </c>
      <c r="Z40" s="71">
        <f t="shared" si="15"/>
        <v>346024.3211</v>
      </c>
      <c r="AA40" s="71">
        <f t="shared" si="16"/>
        <v>574047.2347</v>
      </c>
    </row>
    <row r="41" outlineLevel="1">
      <c r="A41" s="6" t="s">
        <v>481</v>
      </c>
      <c r="B41" s="70">
        <f>-B38*Inputs!$E$36/12</f>
        <v>-6750</v>
      </c>
      <c r="C41" s="70">
        <f>-C38*Inputs!$E$36/12</f>
        <v>-6889.61446</v>
      </c>
      <c r="D41" s="70">
        <f>-D38*Inputs!$E$36/12</f>
        <v>-7023.734855</v>
      </c>
      <c r="E41" s="70">
        <f>-E38*Inputs!$E$36/12</f>
        <v>-7315.355057</v>
      </c>
      <c r="F41" s="70">
        <f>-F38*Inputs!$E$36/12</f>
        <v>-7754.421508</v>
      </c>
      <c r="G41" s="70">
        <f>-G38*Inputs!$E$36/12</f>
        <v>-8177.907579</v>
      </c>
      <c r="H41" s="70">
        <f>-H38*Inputs!$E$36/12</f>
        <v>-8667.694454</v>
      </c>
      <c r="I41" s="70">
        <f>-I38*Inputs!$E$36/12</f>
        <v>-9219.128309</v>
      </c>
      <c r="J41" s="70">
        <f>-J38*Inputs!$E$36/12</f>
        <v>-9751.057832</v>
      </c>
      <c r="K41" s="70">
        <f>-K38*Inputs!$E$36/12</f>
        <v>-10264.0682</v>
      </c>
      <c r="L41" s="70">
        <f>-L38*Inputs!$E$36/12</f>
        <v>-10758.72739</v>
      </c>
      <c r="M41" s="70">
        <f>-M38*Inputs!$E$36/12</f>
        <v>-11235.58669</v>
      </c>
      <c r="N41" s="70">
        <f>-N38*Inputs!$E$36/12</f>
        <v>-11695.18118</v>
      </c>
      <c r="O41" s="70">
        <f>-O38*Inputs!$E$36/12</f>
        <v>-12138.03023</v>
      </c>
      <c r="P41" s="70">
        <f>-P38*Inputs!$E$36/12</f>
        <v>-12564.63792</v>
      </c>
      <c r="Q41" s="70">
        <f>-Q38*Inputs!$E$36/12</f>
        <v>-13056.90709</v>
      </c>
      <c r="R41" s="70">
        <f>-R38*Inputs!$E$36/12</f>
        <v>-13610.20492</v>
      </c>
      <c r="S41" s="70">
        <f>-S38*Inputs!$E$36/12</f>
        <v>-14143.40048</v>
      </c>
      <c r="T41" s="70">
        <f>-T38*Inputs!$E$36/12</f>
        <v>-14657.09872</v>
      </c>
      <c r="U41" s="70">
        <f>-U38*Inputs!$E$36/12</f>
        <v>-15151.8868</v>
      </c>
      <c r="V41" s="70">
        <f>-V38*Inputs!$E$36/12</f>
        <v>-15628.33463</v>
      </c>
      <c r="W41" s="70">
        <f>-W38*Inputs!$E$36/12</f>
        <v>-16086.99536</v>
      </c>
      <c r="X41" s="70">
        <f>-X38*Inputs!$E$36/12</f>
        <v>-16528.40586</v>
      </c>
      <c r="Y41" s="70">
        <f>-Y38*Inputs!$E$36/12</f>
        <v>-16953.08722</v>
      </c>
      <c r="Z41" s="71">
        <f t="shared" si="15"/>
        <v>-103807.2963</v>
      </c>
      <c r="AA41" s="71">
        <f t="shared" si="16"/>
        <v>-172214.1704</v>
      </c>
    </row>
    <row r="42" outlineLevel="1">
      <c r="A42" s="6" t="s">
        <v>482</v>
      </c>
      <c r="B42" s="70">
        <f>-B38*Inputs!$E$35/12</f>
        <v>-27000</v>
      </c>
      <c r="C42" s="70">
        <f>-C38*Inputs!$E$35/12</f>
        <v>-27558.45784</v>
      </c>
      <c r="D42" s="70">
        <f>-D38*Inputs!$E$35/12</f>
        <v>-28094.93942</v>
      </c>
      <c r="E42" s="70">
        <f>-E38*Inputs!$E$35/12</f>
        <v>-29261.42023</v>
      </c>
      <c r="F42" s="70">
        <f>-F38*Inputs!$E$35/12</f>
        <v>-31017.68603</v>
      </c>
      <c r="G42" s="70">
        <f>-G38*Inputs!$E$35/12</f>
        <v>-32711.63032</v>
      </c>
      <c r="H42" s="70">
        <f>-H38*Inputs!$E$35/12</f>
        <v>-34670.77781</v>
      </c>
      <c r="I42" s="70">
        <f>-I38*Inputs!$E$35/12</f>
        <v>-36876.51324</v>
      </c>
      <c r="J42" s="70">
        <f>-J38*Inputs!$E$35/12</f>
        <v>-39004.23133</v>
      </c>
      <c r="K42" s="70">
        <f>-K38*Inputs!$E$35/12</f>
        <v>-41056.27279</v>
      </c>
      <c r="L42" s="70">
        <f>-L38*Inputs!$E$35/12</f>
        <v>-43034.90955</v>
      </c>
      <c r="M42" s="70">
        <f>-M38*Inputs!$E$35/12</f>
        <v>-44942.34674</v>
      </c>
      <c r="N42" s="70">
        <f>-N38*Inputs!$E$35/12</f>
        <v>-46780.72472</v>
      </c>
      <c r="O42" s="70">
        <f>-O38*Inputs!$E$35/12</f>
        <v>-48552.12092</v>
      </c>
      <c r="P42" s="70">
        <f>-P38*Inputs!$E$35/12</f>
        <v>-50258.55169</v>
      </c>
      <c r="Q42" s="70">
        <f>-Q38*Inputs!$E$35/12</f>
        <v>-52227.62837</v>
      </c>
      <c r="R42" s="70">
        <f>-R38*Inputs!$E$35/12</f>
        <v>-54440.8197</v>
      </c>
      <c r="S42" s="70">
        <f>-S38*Inputs!$E$35/12</f>
        <v>-56573.60193</v>
      </c>
      <c r="T42" s="70">
        <f>-T38*Inputs!$E$35/12</f>
        <v>-58628.39488</v>
      </c>
      <c r="U42" s="70">
        <f>-U38*Inputs!$E$35/12</f>
        <v>-60607.54721</v>
      </c>
      <c r="V42" s="70">
        <f>-V38*Inputs!$E$35/12</f>
        <v>-62513.33853</v>
      </c>
      <c r="W42" s="70">
        <f>-W38*Inputs!$E$35/12</f>
        <v>-64347.98143</v>
      </c>
      <c r="X42" s="70">
        <f>-X38*Inputs!$E$35/12</f>
        <v>-66113.62342</v>
      </c>
      <c r="Y42" s="70">
        <f>-Y38*Inputs!$E$35/12</f>
        <v>-67812.34888</v>
      </c>
      <c r="Z42" s="71">
        <f t="shared" si="15"/>
        <v>-415229.1853</v>
      </c>
      <c r="AA42" s="71">
        <f t="shared" si="16"/>
        <v>-688856.6817</v>
      </c>
    </row>
    <row r="43" outlineLevel="1">
      <c r="A43" s="6" t="s">
        <v>130</v>
      </c>
      <c r="B43" s="70">
        <f t="shared" ref="B43:Y43" si="17">B39+B40+B41+B42</f>
        <v>55845.78414</v>
      </c>
      <c r="C43" s="70">
        <f t="shared" si="17"/>
        <v>53648.15775</v>
      </c>
      <c r="D43" s="70">
        <f t="shared" si="17"/>
        <v>116648.0808</v>
      </c>
      <c r="E43" s="70">
        <f t="shared" si="17"/>
        <v>175626.5803</v>
      </c>
      <c r="F43" s="70">
        <f t="shared" si="17"/>
        <v>169394.4286</v>
      </c>
      <c r="G43" s="70">
        <f t="shared" si="17"/>
        <v>195914.7498</v>
      </c>
      <c r="H43" s="70">
        <f t="shared" si="17"/>
        <v>220573.5423</v>
      </c>
      <c r="I43" s="70">
        <f t="shared" si="17"/>
        <v>212771.8093</v>
      </c>
      <c r="J43" s="70">
        <f t="shared" si="17"/>
        <v>205204.1464</v>
      </c>
      <c r="K43" s="70">
        <f t="shared" si="17"/>
        <v>197863.6753</v>
      </c>
      <c r="L43" s="70">
        <f t="shared" si="17"/>
        <v>190743.7195</v>
      </c>
      <c r="M43" s="70">
        <f t="shared" si="17"/>
        <v>183837.798</v>
      </c>
      <c r="N43" s="70">
        <f t="shared" si="17"/>
        <v>177139.6195</v>
      </c>
      <c r="O43" s="70">
        <f t="shared" si="17"/>
        <v>170643.0774</v>
      </c>
      <c r="P43" s="70">
        <f t="shared" si="17"/>
        <v>196907.6681</v>
      </c>
      <c r="Q43" s="70">
        <f t="shared" si="17"/>
        <v>221319.1324</v>
      </c>
      <c r="R43" s="70">
        <f t="shared" si="17"/>
        <v>213278.2237</v>
      </c>
      <c r="S43" s="70">
        <f t="shared" si="17"/>
        <v>205479.2951</v>
      </c>
      <c r="T43" s="70">
        <f t="shared" si="17"/>
        <v>197915.2329</v>
      </c>
      <c r="U43" s="70">
        <f t="shared" si="17"/>
        <v>190579.1321</v>
      </c>
      <c r="V43" s="70">
        <f t="shared" si="17"/>
        <v>183464.2896</v>
      </c>
      <c r="W43" s="70">
        <f t="shared" si="17"/>
        <v>176564.1993</v>
      </c>
      <c r="X43" s="70">
        <f t="shared" si="17"/>
        <v>169872.5453</v>
      </c>
      <c r="Y43" s="70">
        <f t="shared" si="17"/>
        <v>163383.1968</v>
      </c>
      <c r="Z43" s="71">
        <f t="shared" si="15"/>
        <v>1978072.472</v>
      </c>
      <c r="AA43" s="71">
        <f t="shared" si="16"/>
        <v>2266545.612</v>
      </c>
    </row>
    <row r="44" outlineLevel="1">
      <c r="A44" s="12" t="s">
        <v>150</v>
      </c>
      <c r="B44" s="71">
        <f t="shared" ref="B44:Y44" si="18">B38+B43</f>
        <v>2755845.784</v>
      </c>
      <c r="C44" s="71">
        <f t="shared" si="18"/>
        <v>2809493.942</v>
      </c>
      <c r="D44" s="71">
        <f t="shared" si="18"/>
        <v>2926142.023</v>
      </c>
      <c r="E44" s="71">
        <f t="shared" si="18"/>
        <v>3101768.603</v>
      </c>
      <c r="F44" s="71">
        <f t="shared" si="18"/>
        <v>3271163.032</v>
      </c>
      <c r="G44" s="71">
        <f t="shared" si="18"/>
        <v>3467077.781</v>
      </c>
      <c r="H44" s="71">
        <f t="shared" si="18"/>
        <v>3687651.324</v>
      </c>
      <c r="I44" s="71">
        <f t="shared" si="18"/>
        <v>3900423.133</v>
      </c>
      <c r="J44" s="71">
        <f t="shared" si="18"/>
        <v>4105627.279</v>
      </c>
      <c r="K44" s="71">
        <f t="shared" si="18"/>
        <v>4303490.955</v>
      </c>
      <c r="L44" s="71">
        <f t="shared" si="18"/>
        <v>4494234.674</v>
      </c>
      <c r="M44" s="71">
        <f t="shared" si="18"/>
        <v>4678072.472</v>
      </c>
      <c r="N44" s="71">
        <f t="shared" si="18"/>
        <v>4855212.092</v>
      </c>
      <c r="O44" s="71">
        <f t="shared" si="18"/>
        <v>5025855.169</v>
      </c>
      <c r="P44" s="71">
        <f t="shared" si="18"/>
        <v>5222762.837</v>
      </c>
      <c r="Q44" s="71">
        <f t="shared" si="18"/>
        <v>5444081.97</v>
      </c>
      <c r="R44" s="71">
        <f t="shared" si="18"/>
        <v>5657360.193</v>
      </c>
      <c r="S44" s="71">
        <f t="shared" si="18"/>
        <v>5862839.488</v>
      </c>
      <c r="T44" s="71">
        <f t="shared" si="18"/>
        <v>6060754.721</v>
      </c>
      <c r="U44" s="71">
        <f t="shared" si="18"/>
        <v>6251333.853</v>
      </c>
      <c r="V44" s="71">
        <f t="shared" si="18"/>
        <v>6434798.143</v>
      </c>
      <c r="W44" s="71">
        <f t="shared" si="18"/>
        <v>6611362.342</v>
      </c>
      <c r="X44" s="71">
        <f t="shared" si="18"/>
        <v>6781234.888</v>
      </c>
      <c r="Y44" s="71">
        <f t="shared" si="18"/>
        <v>6944618.084</v>
      </c>
      <c r="Z44" s="71">
        <f>M44</f>
        <v>4678072.472</v>
      </c>
      <c r="AA44" s="71">
        <f>Y44</f>
        <v>6944618.084</v>
      </c>
    </row>
    <row r="45" outlineLevel="1">
      <c r="A45" s="38" t="s">
        <v>483</v>
      </c>
      <c r="B45" s="77">
        <f>Capacity!B15</f>
        <v>67095.78414</v>
      </c>
      <c r="C45" s="77">
        <f>Capacity!C15</f>
        <v>65130.84852</v>
      </c>
      <c r="D45" s="77">
        <f>Capacity!D15</f>
        <v>128354.3056</v>
      </c>
      <c r="E45" s="77">
        <f>Capacity!E15</f>
        <v>187818.8387</v>
      </c>
      <c r="F45" s="77">
        <f>Capacity!F15</f>
        <v>182318.4644</v>
      </c>
      <c r="G45" s="77">
        <f>Capacity!G15</f>
        <v>209544.5958</v>
      </c>
      <c r="H45" s="77">
        <f>Capacity!H15</f>
        <v>235019.6997</v>
      </c>
      <c r="I45" s="77">
        <f>Capacity!I15</f>
        <v>228137.0231</v>
      </c>
      <c r="J45" s="77">
        <f>Capacity!J15</f>
        <v>221455.9094</v>
      </c>
      <c r="K45" s="77">
        <f>Capacity!K15</f>
        <v>214970.4556</v>
      </c>
      <c r="L45" s="77">
        <f>Capacity!L15</f>
        <v>208674.9318</v>
      </c>
      <c r="M45" s="77">
        <f>Capacity!M15</f>
        <v>202563.7758</v>
      </c>
      <c r="N45" s="77">
        <f>Capacity!N15</f>
        <v>196631.5882</v>
      </c>
      <c r="O45" s="77">
        <f>Capacity!O15</f>
        <v>190873.1278</v>
      </c>
      <c r="P45" s="77">
        <f>Capacity!P15</f>
        <v>217848.7313</v>
      </c>
      <c r="Q45" s="77">
        <f>Capacity!Q15</f>
        <v>243080.6442</v>
      </c>
      <c r="R45" s="77">
        <f>Capacity!R15</f>
        <v>235961.8986</v>
      </c>
      <c r="S45" s="77">
        <f>Capacity!S15</f>
        <v>229051.6293</v>
      </c>
      <c r="T45" s="77">
        <f>Capacity!T15</f>
        <v>222343.7308</v>
      </c>
      <c r="U45" s="77">
        <f>Capacity!U15</f>
        <v>215832.2767</v>
      </c>
      <c r="V45" s="77">
        <f>Capacity!V15</f>
        <v>209511.514</v>
      </c>
      <c r="W45" s="77">
        <f>Capacity!W15</f>
        <v>203375.8582</v>
      </c>
      <c r="X45" s="77">
        <f>Capacity!X15</f>
        <v>197419.8883</v>
      </c>
      <c r="Y45" s="77">
        <f>Capacity!Y15</f>
        <v>191638.3422</v>
      </c>
      <c r="Z45" s="78">
        <f>SUM(B45:M45)</f>
        <v>2151084.633</v>
      </c>
      <c r="AA45" s="78">
        <f>SUM(N45:Y45)</f>
        <v>2553569.23</v>
      </c>
    </row>
    <row r="46" outlineLevel="1">
      <c r="A46" s="38" t="s">
        <v>484</v>
      </c>
      <c r="B46" s="77">
        <f>IF(B$2=1,Inputs!$B$8*Inputs!$B$18,A46)*(1+(Inputs!$B$37-Inputs!$B$36-Inputs!$B$35)/12)+B45</f>
        <v>2755845.784</v>
      </c>
      <c r="C46" s="77">
        <f>IF(C$2=1,Inputs!$B$8*Inputs!$B$18,B46)*(1+(Inputs!$B$37-Inputs!$B$36-Inputs!$B$35)/12)+C45</f>
        <v>2809493.942</v>
      </c>
      <c r="D46" s="77">
        <f>IF(D$2=1,Inputs!$B$8*Inputs!$B$18,C46)*(1+(Inputs!$B$37-Inputs!$B$36-Inputs!$B$35)/12)+D45</f>
        <v>2926142.023</v>
      </c>
      <c r="E46" s="77">
        <f>IF(E$2=1,Inputs!$B$8*Inputs!$B$18,D46)*(1+(Inputs!$B$37-Inputs!$B$36-Inputs!$B$35)/12)+E45</f>
        <v>3101768.603</v>
      </c>
      <c r="F46" s="77">
        <f>IF(F$2=1,Inputs!$B$8*Inputs!$B$18,E46)*(1+(Inputs!$B$37-Inputs!$B$36-Inputs!$B$35)/12)+F45</f>
        <v>3271163.032</v>
      </c>
      <c r="G46" s="77">
        <f>IF(G$2=1,Inputs!$B$8*Inputs!$B$18,F46)*(1+(Inputs!$B$37-Inputs!$B$36-Inputs!$B$35)/12)+G45</f>
        <v>3467077.781</v>
      </c>
      <c r="H46" s="77">
        <f>IF(H$2=1,Inputs!$B$8*Inputs!$B$18,G46)*(1+(Inputs!$B$37-Inputs!$B$36-Inputs!$B$35)/12)+H45</f>
        <v>3687651.324</v>
      </c>
      <c r="I46" s="77">
        <f>IF(I$2=1,Inputs!$B$8*Inputs!$B$18,H46)*(1+(Inputs!$B$37-Inputs!$B$36-Inputs!$B$35)/12)+I45</f>
        <v>3900423.133</v>
      </c>
      <c r="J46" s="77">
        <f>IF(J$2=1,Inputs!$B$8*Inputs!$B$18,I46)*(1+(Inputs!$B$37-Inputs!$B$36-Inputs!$B$35)/12)+J45</f>
        <v>4105627.279</v>
      </c>
      <c r="K46" s="77">
        <f>IF(K$2=1,Inputs!$B$8*Inputs!$B$18,J46)*(1+(Inputs!$B$37-Inputs!$B$36-Inputs!$B$35)/12)+K45</f>
        <v>4303490.955</v>
      </c>
      <c r="L46" s="77">
        <f>IF(L$2=1,Inputs!$B$8*Inputs!$B$18,K46)*(1+(Inputs!$B$37-Inputs!$B$36-Inputs!$B$35)/12)+L45</f>
        <v>4494234.674</v>
      </c>
      <c r="M46" s="77">
        <f>IF(M$2=1,Inputs!$B$8*Inputs!$B$18,L46)*(1+(Inputs!$B$37-Inputs!$B$36-Inputs!$B$35)/12)+M45</f>
        <v>4678072.472</v>
      </c>
      <c r="N46" s="77">
        <f>IF(N$2=1,Inputs!$B$8*Inputs!$B$18,M46)*(1+(Inputs!$B$37-Inputs!$B$36-Inputs!$B$35)/12)+N45</f>
        <v>4855212.092</v>
      </c>
      <c r="O46" s="77">
        <f>IF(O$2=1,Inputs!$B$8*Inputs!$B$18,N46)*(1+(Inputs!$B$37-Inputs!$B$36-Inputs!$B$35)/12)+O45</f>
        <v>5025855.169</v>
      </c>
      <c r="P46" s="77">
        <f>IF(P$2=1,Inputs!$B$8*Inputs!$B$18,O46)*(1+(Inputs!$B$37-Inputs!$B$36-Inputs!$B$35)/12)+P45</f>
        <v>5222762.837</v>
      </c>
      <c r="Q46" s="77">
        <f>IF(Q$2=1,Inputs!$B$8*Inputs!$B$18,P46)*(1+(Inputs!$B$37-Inputs!$B$36-Inputs!$B$35)/12)+Q45</f>
        <v>5444081.97</v>
      </c>
      <c r="R46" s="77">
        <f>IF(R$2=1,Inputs!$B$8*Inputs!$B$18,Q46)*(1+(Inputs!$B$37-Inputs!$B$36-Inputs!$B$35)/12)+R45</f>
        <v>5657360.193</v>
      </c>
      <c r="S46" s="77">
        <f>IF(S$2=1,Inputs!$B$8*Inputs!$B$18,R46)*(1+(Inputs!$B$37-Inputs!$B$36-Inputs!$B$35)/12)+S45</f>
        <v>5862839.488</v>
      </c>
      <c r="T46" s="77">
        <f>IF(T$2=1,Inputs!$B$8*Inputs!$B$18,S46)*(1+(Inputs!$B$37-Inputs!$B$36-Inputs!$B$35)/12)+T45</f>
        <v>6060754.721</v>
      </c>
      <c r="U46" s="77">
        <f>IF(U$2=1,Inputs!$B$8*Inputs!$B$18,T46)*(1+(Inputs!$B$37-Inputs!$B$36-Inputs!$B$35)/12)+U45</f>
        <v>6251333.853</v>
      </c>
      <c r="V46" s="77">
        <f>IF(V$2=1,Inputs!$B$8*Inputs!$B$18,U46)*(1+(Inputs!$B$37-Inputs!$B$36-Inputs!$B$35)/12)+V45</f>
        <v>6434798.143</v>
      </c>
      <c r="W46" s="77">
        <f>IF(W$2=1,Inputs!$B$8*Inputs!$B$18,V46)*(1+(Inputs!$B$37-Inputs!$B$36-Inputs!$B$35)/12)+W45</f>
        <v>6611362.342</v>
      </c>
      <c r="X46" s="77">
        <f>IF(X$2=1,Inputs!$B$8*Inputs!$B$18,W46)*(1+(Inputs!$B$37-Inputs!$B$36-Inputs!$B$35)/12)+X45</f>
        <v>6781234.888</v>
      </c>
      <c r="Y46" s="77">
        <f>IF(Y$2=1,Inputs!$B$8*Inputs!$B$18,X46)*(1+(Inputs!$B$37-Inputs!$B$36-Inputs!$B$35)/12)+Y45</f>
        <v>6944618.084</v>
      </c>
      <c r="Z46" s="78">
        <f>M46</f>
        <v>4678072.472</v>
      </c>
      <c r="AA46" s="78">
        <f>Y46</f>
        <v>6944618.084</v>
      </c>
    </row>
    <row r="47" outlineLevel="1">
      <c r="A47" s="3"/>
      <c r="Z47" s="51"/>
      <c r="AA47" s="51"/>
    </row>
    <row r="48">
      <c r="A48" s="4" t="s">
        <v>421</v>
      </c>
      <c r="B48" s="46"/>
      <c r="C48" s="46"/>
      <c r="D48" s="46"/>
      <c r="E48" s="46"/>
      <c r="F48" s="46"/>
      <c r="G48" s="46"/>
      <c r="H48" s="46"/>
      <c r="I48" s="46"/>
      <c r="J48" s="46"/>
      <c r="K48" s="46"/>
      <c r="L48" s="46"/>
      <c r="M48" s="46"/>
      <c r="N48" s="46"/>
      <c r="O48" s="46"/>
      <c r="P48" s="46"/>
      <c r="Q48" s="46"/>
      <c r="R48" s="46"/>
      <c r="S48" s="46"/>
      <c r="T48" s="46"/>
      <c r="U48" s="46"/>
      <c r="V48" s="46"/>
      <c r="W48" s="46"/>
      <c r="X48" s="46"/>
      <c r="Y48" s="46"/>
      <c r="Z48" s="46"/>
      <c r="AA48" s="46"/>
    </row>
    <row r="49" outlineLevel="1">
      <c r="A49" s="6" t="s">
        <v>478</v>
      </c>
      <c r="B49" s="70">
        <f>IF(B$2=1,Inputs!$B$8*Inputs!$C$18,A55)</f>
        <v>3600000</v>
      </c>
      <c r="C49" s="70">
        <f>IF(C$2=1,Inputs!$B$8*Inputs!$C$18,B55)</f>
        <v>3803462.694</v>
      </c>
      <c r="D49" s="70">
        <f>IF(D$2=1,Inputs!$B$8*Inputs!$C$18,C55)</f>
        <v>4004301.012</v>
      </c>
      <c r="E49" s="70">
        <f>IF(E$2=1,Inputs!$B$8*Inputs!$C$18,D55)</f>
        <v>4202567.988</v>
      </c>
      <c r="F49" s="70">
        <f>IF(F$2=1,Inputs!$B$8*Inputs!$C$18,E55)</f>
        <v>4398315.7</v>
      </c>
      <c r="G49" s="70">
        <f>IF(G$2=1,Inputs!$B$8*Inputs!$C$18,F55)</f>
        <v>4591595.282</v>
      </c>
      <c r="H49" s="70">
        <f>IF(H$2=1,Inputs!$B$8*Inputs!$C$18,G55)</f>
        <v>4782456.95</v>
      </c>
      <c r="I49" s="70">
        <f>IF(I$2=1,Inputs!$B$8*Inputs!$C$18,H55)</f>
        <v>4970950.011</v>
      </c>
      <c r="J49" s="70">
        <f>IF(J$2=1,Inputs!$B$8*Inputs!$C$18,I55)</f>
        <v>5157122.887</v>
      </c>
      <c r="K49" s="70">
        <f>IF(K$2=1,Inputs!$B$8*Inputs!$C$18,J55)</f>
        <v>5341023.125</v>
      </c>
      <c r="L49" s="70">
        <f>IF(L$2=1,Inputs!$B$8*Inputs!$C$18,K55)</f>
        <v>5522697.418</v>
      </c>
      <c r="M49" s="70">
        <f>IF(M$2=1,Inputs!$B$8*Inputs!$C$18,L55)</f>
        <v>5702191.616</v>
      </c>
      <c r="N49" s="70">
        <f>IF(N$2=1,Inputs!$B$8*Inputs!$C$18,M55)</f>
        <v>5879550.748</v>
      </c>
      <c r="O49" s="70">
        <f>IF(O$2=1,Inputs!$B$8*Inputs!$C$18,N55)</f>
        <v>6054819.031</v>
      </c>
      <c r="P49" s="70">
        <f>IF(P$2=1,Inputs!$B$8*Inputs!$C$18,O55)</f>
        <v>6228039.889</v>
      </c>
      <c r="Q49" s="70">
        <f>IF(Q$2=1,Inputs!$B$8*Inputs!$C$18,P55)</f>
        <v>6399255.966</v>
      </c>
      <c r="R49" s="70">
        <f>IF(R$2=1,Inputs!$B$8*Inputs!$C$18,Q55)</f>
        <v>6568509.142</v>
      </c>
      <c r="S49" s="70">
        <f>IF(S$2=1,Inputs!$B$8*Inputs!$C$18,R55)</f>
        <v>6780399.796</v>
      </c>
      <c r="T49" s="70">
        <f>IF(T$2=1,Inputs!$B$8*Inputs!$C$18,S55)</f>
        <v>7033512.112</v>
      </c>
      <c r="U49" s="70">
        <f>IF(U$2=1,Inputs!$B$8*Inputs!$C$18,T55)</f>
        <v>7326468.854</v>
      </c>
      <c r="V49" s="70">
        <f>IF(V$2=1,Inputs!$B$8*Inputs!$C$18,U55)</f>
        <v>7615788.894</v>
      </c>
      <c r="W49" s="70">
        <f>IF(W$2=1,Inputs!$B$8*Inputs!$C$18,V55)</f>
        <v>7901546.566</v>
      </c>
      <c r="X49" s="70">
        <f>IF(X$2=1,Inputs!$B$8*Inputs!$C$18,W55)</f>
        <v>8183814.87</v>
      </c>
      <c r="Y49" s="70">
        <f>IF(Y$2=1,Inputs!$B$8*Inputs!$C$18,X55)</f>
        <v>8462665.488</v>
      </c>
      <c r="Z49" s="71">
        <f>B49</f>
        <v>3600000</v>
      </c>
      <c r="AA49" s="71">
        <f>N49</f>
        <v>5879550.748</v>
      </c>
    </row>
    <row r="50" outlineLevel="1">
      <c r="A50" s="12" t="s">
        <v>479</v>
      </c>
      <c r="B50" s="71">
        <f>MIN(Capacity!B52,Funnel!B84)</f>
        <v>188462.6937</v>
      </c>
      <c r="C50" s="71">
        <f>MIN(Capacity!C52,Funnel!C84)</f>
        <v>184990.5569</v>
      </c>
      <c r="D50" s="71">
        <f>MIN(Capacity!D52,Funnel!D84)</f>
        <v>181582.3889</v>
      </c>
      <c r="E50" s="71">
        <f>MIN(Capacity!E52,Funnel!E84)</f>
        <v>178237.0112</v>
      </c>
      <c r="F50" s="71">
        <f>MIN(Capacity!F52,Funnel!F84)</f>
        <v>174953.267</v>
      </c>
      <c r="G50" s="71">
        <f>MIN(Capacity!G52,Funnel!G84)</f>
        <v>171730.0207</v>
      </c>
      <c r="H50" s="71">
        <f>MIN(Capacity!H52,Funnel!H84)</f>
        <v>168566.1578</v>
      </c>
      <c r="I50" s="71">
        <f>MIN(Capacity!I52,Funnel!I84)</f>
        <v>165460.5842</v>
      </c>
      <c r="J50" s="71">
        <f>MIN(Capacity!J52,Funnel!J84)</f>
        <v>162412.2261</v>
      </c>
      <c r="K50" s="71">
        <f>MIN(Capacity!K52,Funnel!K84)</f>
        <v>159420.0293</v>
      </c>
      <c r="L50" s="71">
        <f>MIN(Capacity!L52,Funnel!L84)</f>
        <v>156482.9591</v>
      </c>
      <c r="M50" s="71">
        <f>MIN(Capacity!M52,Funnel!M84)</f>
        <v>153600</v>
      </c>
      <c r="N50" s="71">
        <f>MIN(Capacity!N52,Funnel!N84)</f>
        <v>150770.155</v>
      </c>
      <c r="O50" s="71">
        <f>MIN(Capacity!O52,Funnel!O84)</f>
        <v>147992.4455</v>
      </c>
      <c r="P50" s="71">
        <f>MIN(Capacity!P52,Funnel!P84)</f>
        <v>145265.9111</v>
      </c>
      <c r="Q50" s="71">
        <f>MIN(Capacity!Q52,Funnel!Q84)</f>
        <v>142589.609</v>
      </c>
      <c r="R50" s="71">
        <f>MIN(Capacity!R52,Funnel!R84)</f>
        <v>184521.8664</v>
      </c>
      <c r="S50" s="71">
        <f>MIN(Capacity!S52,Funnel!S84)</f>
        <v>224860.65</v>
      </c>
      <c r="T50" s="71">
        <f>MIN(Capacity!T52,Funnel!T84)</f>
        <v>263650.4417</v>
      </c>
      <c r="U50" s="71">
        <f>MIN(Capacity!U52,Funnel!U84)</f>
        <v>258793.0857</v>
      </c>
      <c r="V50" s="71">
        <f>MIN(Capacity!V52,Funnel!V84)</f>
        <v>254025.219</v>
      </c>
      <c r="W50" s="71">
        <f>MIN(Capacity!W52,Funnel!W84)</f>
        <v>249345.193</v>
      </c>
      <c r="X50" s="71">
        <f>MIN(Capacity!X52,Funnel!X84)</f>
        <v>244751.3893</v>
      </c>
      <c r="Y50" s="71">
        <f>MIN(Capacity!Y52,Funnel!Y84)</f>
        <v>240242.2193</v>
      </c>
      <c r="Z50" s="71">
        <f t="shared" ref="Z50:Z54" si="19">SUM(B50:M50)</f>
        <v>2045897.895</v>
      </c>
      <c r="AA50" s="71">
        <f t="shared" ref="AA50:AA54" si="20">SUM(N50:Y50)</f>
        <v>2506808.185</v>
      </c>
    </row>
    <row r="51" outlineLevel="1">
      <c r="A51" s="6" t="s">
        <v>480</v>
      </c>
      <c r="B51" s="70">
        <f>B49*Inputs!$F$37/12</f>
        <v>45000</v>
      </c>
      <c r="C51" s="70">
        <f>C49*Inputs!$F$37/12</f>
        <v>47543.28367</v>
      </c>
      <c r="D51" s="70">
        <f>D49*Inputs!$F$37/12</f>
        <v>50053.76265</v>
      </c>
      <c r="E51" s="70">
        <f>E49*Inputs!$F$37/12</f>
        <v>52532.09985</v>
      </c>
      <c r="F51" s="70">
        <f>F49*Inputs!$F$37/12</f>
        <v>54978.94624</v>
      </c>
      <c r="G51" s="70">
        <f>G49*Inputs!$F$37/12</f>
        <v>57394.94102</v>
      </c>
      <c r="H51" s="70">
        <f>H49*Inputs!$F$37/12</f>
        <v>59780.71187</v>
      </c>
      <c r="I51" s="70">
        <f>I49*Inputs!$F$37/12</f>
        <v>62136.87514</v>
      </c>
      <c r="J51" s="70">
        <f>J49*Inputs!$F$37/12</f>
        <v>64464.03609</v>
      </c>
      <c r="K51" s="70">
        <f>K49*Inputs!$F$37/12</f>
        <v>66762.78907</v>
      </c>
      <c r="L51" s="70">
        <f>L49*Inputs!$F$37/12</f>
        <v>69033.71772</v>
      </c>
      <c r="M51" s="70">
        <f>M49*Inputs!$F$37/12</f>
        <v>71277.3952</v>
      </c>
      <c r="N51" s="70">
        <f>N49*Inputs!$F$37/12</f>
        <v>73494.38435</v>
      </c>
      <c r="O51" s="70">
        <f>O49*Inputs!$F$37/12</f>
        <v>75685.23788</v>
      </c>
      <c r="P51" s="70">
        <f>P49*Inputs!$F$37/12</f>
        <v>77850.49861</v>
      </c>
      <c r="Q51" s="70">
        <f>Q49*Inputs!$F$37/12</f>
        <v>79990.69958</v>
      </c>
      <c r="R51" s="70">
        <f>R49*Inputs!$F$37/12</f>
        <v>82106.36427</v>
      </c>
      <c r="S51" s="70">
        <f>S49*Inputs!$F$37/12</f>
        <v>84754.99745</v>
      </c>
      <c r="T51" s="70">
        <f>T49*Inputs!$F$37/12</f>
        <v>87918.9014</v>
      </c>
      <c r="U51" s="70">
        <f>U49*Inputs!$F$37/12</f>
        <v>91580.86068</v>
      </c>
      <c r="V51" s="70">
        <f>V49*Inputs!$F$37/12</f>
        <v>95197.36117</v>
      </c>
      <c r="W51" s="70">
        <f>W49*Inputs!$F$37/12</f>
        <v>98769.33208</v>
      </c>
      <c r="X51" s="70">
        <f>X49*Inputs!$F$37/12</f>
        <v>102297.6859</v>
      </c>
      <c r="Y51" s="70">
        <f>Y49*Inputs!$F$37/12</f>
        <v>105783.3186</v>
      </c>
      <c r="Z51" s="71">
        <f t="shared" si="19"/>
        <v>700958.5585</v>
      </c>
      <c r="AA51" s="71">
        <f t="shared" si="20"/>
        <v>1055429.642</v>
      </c>
    </row>
    <row r="52" outlineLevel="1">
      <c r="A52" s="6" t="s">
        <v>481</v>
      </c>
      <c r="B52" s="70">
        <f>-B49*Inputs!$F$36/12</f>
        <v>-6000</v>
      </c>
      <c r="C52" s="70">
        <f>-C49*Inputs!$F$36/12</f>
        <v>-6339.10449</v>
      </c>
      <c r="D52" s="70">
        <f>-D49*Inputs!$F$36/12</f>
        <v>-6673.83502</v>
      </c>
      <c r="E52" s="70">
        <f>-E49*Inputs!$F$36/12</f>
        <v>-7004.279981</v>
      </c>
      <c r="F52" s="70">
        <f>-F49*Inputs!$F$36/12</f>
        <v>-7330.526166</v>
      </c>
      <c r="G52" s="70">
        <f>-G49*Inputs!$F$36/12</f>
        <v>-7652.658803</v>
      </c>
      <c r="H52" s="70">
        <f>-H49*Inputs!$F$36/12</f>
        <v>-7970.761583</v>
      </c>
      <c r="I52" s="70">
        <f>-I49*Inputs!$F$36/12</f>
        <v>-8284.916686</v>
      </c>
      <c r="J52" s="70">
        <f>-J49*Inputs!$F$36/12</f>
        <v>-8595.204812</v>
      </c>
      <c r="K52" s="70">
        <f>-K49*Inputs!$F$36/12</f>
        <v>-8901.705209</v>
      </c>
      <c r="L52" s="70">
        <f>-L49*Inputs!$F$36/12</f>
        <v>-9204.495696</v>
      </c>
      <c r="M52" s="70">
        <f>-M49*Inputs!$F$36/12</f>
        <v>-9503.652693</v>
      </c>
      <c r="N52" s="70">
        <f>-N49*Inputs!$F$36/12</f>
        <v>-9799.251246</v>
      </c>
      <c r="O52" s="70">
        <f>-O49*Inputs!$F$36/12</f>
        <v>-10091.36505</v>
      </c>
      <c r="P52" s="70">
        <f>-P49*Inputs!$F$36/12</f>
        <v>-10380.06648</v>
      </c>
      <c r="Q52" s="70">
        <f>-Q49*Inputs!$F$36/12</f>
        <v>-10665.42661</v>
      </c>
      <c r="R52" s="70">
        <f>-R49*Inputs!$F$36/12</f>
        <v>-10947.51524</v>
      </c>
      <c r="S52" s="70">
        <f>-S49*Inputs!$F$36/12</f>
        <v>-11300.66633</v>
      </c>
      <c r="T52" s="70">
        <f>-T49*Inputs!$F$36/12</f>
        <v>-11722.52019</v>
      </c>
      <c r="U52" s="70">
        <f>-U49*Inputs!$F$36/12</f>
        <v>-12210.78142</v>
      </c>
      <c r="V52" s="70">
        <f>-V49*Inputs!$F$36/12</f>
        <v>-12692.98149</v>
      </c>
      <c r="W52" s="70">
        <f>-W49*Inputs!$F$36/12</f>
        <v>-13169.24428</v>
      </c>
      <c r="X52" s="70">
        <f>-X49*Inputs!$F$36/12</f>
        <v>-13639.69145</v>
      </c>
      <c r="Y52" s="70">
        <f>-Y49*Inputs!$F$36/12</f>
        <v>-14104.44248</v>
      </c>
      <c r="Z52" s="71">
        <f t="shared" si="19"/>
        <v>-93461.14114</v>
      </c>
      <c r="AA52" s="71">
        <f t="shared" si="20"/>
        <v>-140723.9523</v>
      </c>
    </row>
    <row r="53" outlineLevel="1">
      <c r="A53" s="6" t="s">
        <v>482</v>
      </c>
      <c r="B53" s="70">
        <f>-B49*Inputs!$F$35/12</f>
        <v>-24000</v>
      </c>
      <c r="C53" s="70">
        <f>-C49*Inputs!$F$35/12</f>
        <v>-25356.41796</v>
      </c>
      <c r="D53" s="70">
        <f>-D49*Inputs!$F$35/12</f>
        <v>-26695.34008</v>
      </c>
      <c r="E53" s="70">
        <f>-E49*Inputs!$F$35/12</f>
        <v>-28017.11992</v>
      </c>
      <c r="F53" s="70">
        <f>-F49*Inputs!$F$35/12</f>
        <v>-29322.10466</v>
      </c>
      <c r="G53" s="70">
        <f>-G49*Inputs!$F$35/12</f>
        <v>-30610.63521</v>
      </c>
      <c r="H53" s="70">
        <f>-H49*Inputs!$F$35/12</f>
        <v>-31883.04633</v>
      </c>
      <c r="I53" s="70">
        <f>-I49*Inputs!$F$35/12</f>
        <v>-33139.66674</v>
      </c>
      <c r="J53" s="70">
        <f>-J49*Inputs!$F$35/12</f>
        <v>-34380.81925</v>
      </c>
      <c r="K53" s="70">
        <f>-K49*Inputs!$F$35/12</f>
        <v>-35606.82084</v>
      </c>
      <c r="L53" s="70">
        <f>-L49*Inputs!$F$35/12</f>
        <v>-36817.98278</v>
      </c>
      <c r="M53" s="70">
        <f>-M49*Inputs!$F$35/12</f>
        <v>-38014.61077</v>
      </c>
      <c r="N53" s="70">
        <f>-N49*Inputs!$F$35/12</f>
        <v>-39197.00498</v>
      </c>
      <c r="O53" s="70">
        <f>-O49*Inputs!$F$35/12</f>
        <v>-40365.46021</v>
      </c>
      <c r="P53" s="70">
        <f>-P49*Inputs!$F$35/12</f>
        <v>-41520.26593</v>
      </c>
      <c r="Q53" s="70">
        <f>-Q49*Inputs!$F$35/12</f>
        <v>-42661.70644</v>
      </c>
      <c r="R53" s="70">
        <f>-R49*Inputs!$F$35/12</f>
        <v>-43790.06095</v>
      </c>
      <c r="S53" s="70">
        <f>-S49*Inputs!$F$35/12</f>
        <v>-45202.66531</v>
      </c>
      <c r="T53" s="70">
        <f>-T49*Inputs!$F$35/12</f>
        <v>-46890.08075</v>
      </c>
      <c r="U53" s="70">
        <f>-U49*Inputs!$F$35/12</f>
        <v>-48843.1257</v>
      </c>
      <c r="V53" s="70">
        <f>-V49*Inputs!$F$35/12</f>
        <v>-50771.92596</v>
      </c>
      <c r="W53" s="70">
        <f>-W49*Inputs!$F$35/12</f>
        <v>-52676.97711</v>
      </c>
      <c r="X53" s="70">
        <f>-X49*Inputs!$F$35/12</f>
        <v>-54558.7658</v>
      </c>
      <c r="Y53" s="70">
        <f>-Y49*Inputs!$F$35/12</f>
        <v>-56417.76992</v>
      </c>
      <c r="Z53" s="71">
        <f t="shared" si="19"/>
        <v>-373844.5645</v>
      </c>
      <c r="AA53" s="71">
        <f t="shared" si="20"/>
        <v>-562895.809</v>
      </c>
    </row>
    <row r="54" outlineLevel="1">
      <c r="A54" s="6" t="s">
        <v>130</v>
      </c>
      <c r="B54" s="70">
        <f t="shared" ref="B54:Y54" si="21">B50+B51+B52+B53</f>
        <v>203462.6937</v>
      </c>
      <c r="C54" s="70">
        <f t="shared" si="21"/>
        <v>200838.3182</v>
      </c>
      <c r="D54" s="70">
        <f t="shared" si="21"/>
        <v>198266.9765</v>
      </c>
      <c r="E54" s="70">
        <f t="shared" si="21"/>
        <v>195747.7112</v>
      </c>
      <c r="F54" s="70">
        <f t="shared" si="21"/>
        <v>193279.5824</v>
      </c>
      <c r="G54" s="70">
        <f t="shared" si="21"/>
        <v>190861.6677</v>
      </c>
      <c r="H54" s="70">
        <f t="shared" si="21"/>
        <v>188493.0617</v>
      </c>
      <c r="I54" s="70">
        <f t="shared" si="21"/>
        <v>186172.8759</v>
      </c>
      <c r="J54" s="70">
        <f t="shared" si="21"/>
        <v>183900.2381</v>
      </c>
      <c r="K54" s="70">
        <f t="shared" si="21"/>
        <v>181674.2923</v>
      </c>
      <c r="L54" s="70">
        <f t="shared" si="21"/>
        <v>179494.1984</v>
      </c>
      <c r="M54" s="70">
        <f t="shared" si="21"/>
        <v>177359.1317</v>
      </c>
      <c r="N54" s="70">
        <f t="shared" si="21"/>
        <v>175268.2831</v>
      </c>
      <c r="O54" s="70">
        <f t="shared" si="21"/>
        <v>173220.8582</v>
      </c>
      <c r="P54" s="70">
        <f t="shared" si="21"/>
        <v>171216.0773</v>
      </c>
      <c r="Q54" s="70">
        <f t="shared" si="21"/>
        <v>169253.1755</v>
      </c>
      <c r="R54" s="70">
        <f t="shared" si="21"/>
        <v>211890.6545</v>
      </c>
      <c r="S54" s="70">
        <f t="shared" si="21"/>
        <v>253112.3158</v>
      </c>
      <c r="T54" s="70">
        <f t="shared" si="21"/>
        <v>292956.7422</v>
      </c>
      <c r="U54" s="70">
        <f t="shared" si="21"/>
        <v>289320.0392</v>
      </c>
      <c r="V54" s="70">
        <f t="shared" si="21"/>
        <v>285757.6727</v>
      </c>
      <c r="W54" s="70">
        <f t="shared" si="21"/>
        <v>282268.3037</v>
      </c>
      <c r="X54" s="70">
        <f t="shared" si="21"/>
        <v>278850.6179</v>
      </c>
      <c r="Y54" s="70">
        <f t="shared" si="21"/>
        <v>275503.3255</v>
      </c>
      <c r="Z54" s="71">
        <f t="shared" si="19"/>
        <v>2279550.748</v>
      </c>
      <c r="AA54" s="71">
        <f t="shared" si="20"/>
        <v>2858618.066</v>
      </c>
    </row>
    <row r="55" outlineLevel="1">
      <c r="A55" s="12" t="s">
        <v>150</v>
      </c>
      <c r="B55" s="71">
        <f t="shared" ref="B55:Y55" si="22">B49+B54</f>
        <v>3803462.694</v>
      </c>
      <c r="C55" s="71">
        <f t="shared" si="22"/>
        <v>4004301.012</v>
      </c>
      <c r="D55" s="71">
        <f t="shared" si="22"/>
        <v>4202567.988</v>
      </c>
      <c r="E55" s="71">
        <f t="shared" si="22"/>
        <v>4398315.7</v>
      </c>
      <c r="F55" s="71">
        <f t="shared" si="22"/>
        <v>4591595.282</v>
      </c>
      <c r="G55" s="71">
        <f t="shared" si="22"/>
        <v>4782456.95</v>
      </c>
      <c r="H55" s="71">
        <f t="shared" si="22"/>
        <v>4970950.011</v>
      </c>
      <c r="I55" s="71">
        <f t="shared" si="22"/>
        <v>5157122.887</v>
      </c>
      <c r="J55" s="71">
        <f t="shared" si="22"/>
        <v>5341023.125</v>
      </c>
      <c r="K55" s="71">
        <f t="shared" si="22"/>
        <v>5522697.418</v>
      </c>
      <c r="L55" s="71">
        <f t="shared" si="22"/>
        <v>5702191.616</v>
      </c>
      <c r="M55" s="71">
        <f t="shared" si="22"/>
        <v>5879550.748</v>
      </c>
      <c r="N55" s="71">
        <f t="shared" si="22"/>
        <v>6054819.031</v>
      </c>
      <c r="O55" s="71">
        <f t="shared" si="22"/>
        <v>6228039.889</v>
      </c>
      <c r="P55" s="71">
        <f t="shared" si="22"/>
        <v>6399255.966</v>
      </c>
      <c r="Q55" s="71">
        <f t="shared" si="22"/>
        <v>6568509.142</v>
      </c>
      <c r="R55" s="71">
        <f t="shared" si="22"/>
        <v>6780399.796</v>
      </c>
      <c r="S55" s="71">
        <f t="shared" si="22"/>
        <v>7033512.112</v>
      </c>
      <c r="T55" s="71">
        <f t="shared" si="22"/>
        <v>7326468.854</v>
      </c>
      <c r="U55" s="71">
        <f t="shared" si="22"/>
        <v>7615788.894</v>
      </c>
      <c r="V55" s="71">
        <f t="shared" si="22"/>
        <v>7901546.566</v>
      </c>
      <c r="W55" s="71">
        <f t="shared" si="22"/>
        <v>8183814.87</v>
      </c>
      <c r="X55" s="71">
        <f t="shared" si="22"/>
        <v>8462665.488</v>
      </c>
      <c r="Y55" s="71">
        <f t="shared" si="22"/>
        <v>8738168.813</v>
      </c>
      <c r="Z55" s="71">
        <f>M55</f>
        <v>5879550.748</v>
      </c>
      <c r="AA55" s="71">
        <f>Y55</f>
        <v>8738168.813</v>
      </c>
    </row>
    <row r="56" outlineLevel="1">
      <c r="A56" s="38" t="s">
        <v>483</v>
      </c>
      <c r="B56" s="77">
        <f>Capacity!B40</f>
        <v>188462.6937</v>
      </c>
      <c r="C56" s="77">
        <f>Capacity!C40</f>
        <v>184990.5569</v>
      </c>
      <c r="D56" s="77">
        <f>Capacity!D40</f>
        <v>181582.3889</v>
      </c>
      <c r="E56" s="77">
        <f>Capacity!E40</f>
        <v>178237.0112</v>
      </c>
      <c r="F56" s="77">
        <f>Capacity!F40</f>
        <v>174953.267</v>
      </c>
      <c r="G56" s="77">
        <f>Capacity!G40</f>
        <v>171730.0207</v>
      </c>
      <c r="H56" s="77">
        <f>Capacity!H40</f>
        <v>168566.1578</v>
      </c>
      <c r="I56" s="77">
        <f>Capacity!I40</f>
        <v>165460.5842</v>
      </c>
      <c r="J56" s="77">
        <f>Capacity!J40</f>
        <v>162412.2261</v>
      </c>
      <c r="K56" s="77">
        <f>Capacity!K40</f>
        <v>159420.0293</v>
      </c>
      <c r="L56" s="77">
        <f>Capacity!L40</f>
        <v>156482.9591</v>
      </c>
      <c r="M56" s="77">
        <f>Capacity!M40</f>
        <v>153600</v>
      </c>
      <c r="N56" s="77">
        <f>Capacity!N40</f>
        <v>150770.155</v>
      </c>
      <c r="O56" s="77">
        <f>Capacity!O40</f>
        <v>147992.4455</v>
      </c>
      <c r="P56" s="77">
        <f>Capacity!P40</f>
        <v>145265.9111</v>
      </c>
      <c r="Q56" s="77">
        <f>Capacity!Q40</f>
        <v>142589.609</v>
      </c>
      <c r="R56" s="77">
        <f>Capacity!R40</f>
        <v>184521.8664</v>
      </c>
      <c r="S56" s="77">
        <f>Capacity!S40</f>
        <v>224860.65</v>
      </c>
      <c r="T56" s="77">
        <f>Capacity!T40</f>
        <v>263650.4417</v>
      </c>
      <c r="U56" s="77">
        <f>Capacity!U40</f>
        <v>258793.0857</v>
      </c>
      <c r="V56" s="77">
        <f>Capacity!V40</f>
        <v>254025.219</v>
      </c>
      <c r="W56" s="77">
        <f>Capacity!W40</f>
        <v>249345.193</v>
      </c>
      <c r="X56" s="77">
        <f>Capacity!X40</f>
        <v>244751.3893</v>
      </c>
      <c r="Y56" s="77">
        <f>Capacity!Y40</f>
        <v>240242.2193</v>
      </c>
      <c r="Z56" s="78">
        <f>SUM(B56:M56)</f>
        <v>2045897.895</v>
      </c>
      <c r="AA56" s="78">
        <f>SUM(N56:Y56)</f>
        <v>2506808.185</v>
      </c>
    </row>
    <row r="57" outlineLevel="1">
      <c r="A57" s="38" t="s">
        <v>484</v>
      </c>
      <c r="B57" s="77">
        <f>IF(B$2=1,Inputs!$B$8*Inputs!$C$18,A57)*(1+(Inputs!$C$37-Inputs!$C$36-Inputs!$C$35)/12)+B56</f>
        <v>3803462.694</v>
      </c>
      <c r="C57" s="77">
        <f>IF(C$2=1,Inputs!$B$8*Inputs!$C$18,B57)*(1+(Inputs!$C$37-Inputs!$C$36-Inputs!$C$35)/12)+C56</f>
        <v>4004301.012</v>
      </c>
      <c r="D57" s="77">
        <f>IF(D$2=1,Inputs!$B$8*Inputs!$C$18,C57)*(1+(Inputs!$C$37-Inputs!$C$36-Inputs!$C$35)/12)+D56</f>
        <v>4202567.988</v>
      </c>
      <c r="E57" s="77">
        <f>IF(E$2=1,Inputs!$B$8*Inputs!$C$18,D57)*(1+(Inputs!$C$37-Inputs!$C$36-Inputs!$C$35)/12)+E56</f>
        <v>4398315.7</v>
      </c>
      <c r="F57" s="77">
        <f>IF(F$2=1,Inputs!$B$8*Inputs!$C$18,E57)*(1+(Inputs!$C$37-Inputs!$C$36-Inputs!$C$35)/12)+F56</f>
        <v>4591595.282</v>
      </c>
      <c r="G57" s="77">
        <f>IF(G$2=1,Inputs!$B$8*Inputs!$C$18,F57)*(1+(Inputs!$C$37-Inputs!$C$36-Inputs!$C$35)/12)+G56</f>
        <v>4782456.95</v>
      </c>
      <c r="H57" s="77">
        <f>IF(H$2=1,Inputs!$B$8*Inputs!$C$18,G57)*(1+(Inputs!$C$37-Inputs!$C$36-Inputs!$C$35)/12)+H56</f>
        <v>4970950.011</v>
      </c>
      <c r="I57" s="77">
        <f>IF(I$2=1,Inputs!$B$8*Inputs!$C$18,H57)*(1+(Inputs!$C$37-Inputs!$C$36-Inputs!$C$35)/12)+I56</f>
        <v>5157122.887</v>
      </c>
      <c r="J57" s="77">
        <f>IF(J$2=1,Inputs!$B$8*Inputs!$C$18,I57)*(1+(Inputs!$C$37-Inputs!$C$36-Inputs!$C$35)/12)+J56</f>
        <v>5341023.125</v>
      </c>
      <c r="K57" s="77">
        <f>IF(K$2=1,Inputs!$B$8*Inputs!$C$18,J57)*(1+(Inputs!$C$37-Inputs!$C$36-Inputs!$C$35)/12)+K56</f>
        <v>5522697.418</v>
      </c>
      <c r="L57" s="77">
        <f>IF(L$2=1,Inputs!$B$8*Inputs!$C$18,K57)*(1+(Inputs!$C$37-Inputs!$C$36-Inputs!$C$35)/12)+L56</f>
        <v>5702191.616</v>
      </c>
      <c r="M57" s="77">
        <f>IF(M$2=1,Inputs!$B$8*Inputs!$C$18,L57)*(1+(Inputs!$C$37-Inputs!$C$36-Inputs!$C$35)/12)+M56</f>
        <v>5879550.748</v>
      </c>
      <c r="N57" s="77">
        <f>IF(N$2=1,Inputs!$B$8*Inputs!$C$18,M57)*(1+(Inputs!$C$37-Inputs!$C$36-Inputs!$C$35)/12)+N56</f>
        <v>6054819.031</v>
      </c>
      <c r="O57" s="77">
        <f>IF(O$2=1,Inputs!$B$8*Inputs!$C$18,N57)*(1+(Inputs!$C$37-Inputs!$C$36-Inputs!$C$35)/12)+O56</f>
        <v>6228039.889</v>
      </c>
      <c r="P57" s="77">
        <f>IF(P$2=1,Inputs!$B$8*Inputs!$C$18,O57)*(1+(Inputs!$C$37-Inputs!$C$36-Inputs!$C$35)/12)+P56</f>
        <v>6399255.966</v>
      </c>
      <c r="Q57" s="77">
        <f>IF(Q$2=1,Inputs!$B$8*Inputs!$C$18,P57)*(1+(Inputs!$C$37-Inputs!$C$36-Inputs!$C$35)/12)+Q56</f>
        <v>6568509.142</v>
      </c>
      <c r="R57" s="77">
        <f>IF(R$2=1,Inputs!$B$8*Inputs!$C$18,Q57)*(1+(Inputs!$C$37-Inputs!$C$36-Inputs!$C$35)/12)+R56</f>
        <v>6780399.796</v>
      </c>
      <c r="S57" s="77">
        <f>IF(S$2=1,Inputs!$B$8*Inputs!$C$18,R57)*(1+(Inputs!$C$37-Inputs!$C$36-Inputs!$C$35)/12)+S56</f>
        <v>7033512.112</v>
      </c>
      <c r="T57" s="77">
        <f>IF(T$2=1,Inputs!$B$8*Inputs!$C$18,S57)*(1+(Inputs!$C$37-Inputs!$C$36-Inputs!$C$35)/12)+T56</f>
        <v>7326468.854</v>
      </c>
      <c r="U57" s="77">
        <f>IF(U$2=1,Inputs!$B$8*Inputs!$C$18,T57)*(1+(Inputs!$C$37-Inputs!$C$36-Inputs!$C$35)/12)+U56</f>
        <v>7615788.894</v>
      </c>
      <c r="V57" s="77">
        <f>IF(V$2=1,Inputs!$B$8*Inputs!$C$18,U57)*(1+(Inputs!$C$37-Inputs!$C$36-Inputs!$C$35)/12)+V56</f>
        <v>7901546.566</v>
      </c>
      <c r="W57" s="77">
        <f>IF(W$2=1,Inputs!$B$8*Inputs!$C$18,V57)*(1+(Inputs!$C$37-Inputs!$C$36-Inputs!$C$35)/12)+W56</f>
        <v>8183814.87</v>
      </c>
      <c r="X57" s="77">
        <f>IF(X$2=1,Inputs!$B$8*Inputs!$C$18,W57)*(1+(Inputs!$C$37-Inputs!$C$36-Inputs!$C$35)/12)+X56</f>
        <v>8462665.488</v>
      </c>
      <c r="Y57" s="77">
        <f>IF(Y$2=1,Inputs!$B$8*Inputs!$C$18,X57)*(1+(Inputs!$C$37-Inputs!$C$36-Inputs!$C$35)/12)+Y56</f>
        <v>8738168.813</v>
      </c>
      <c r="Z57" s="78">
        <f>M57</f>
        <v>5879550.748</v>
      </c>
      <c r="AA57" s="78">
        <f>Y57</f>
        <v>8738168.813</v>
      </c>
    </row>
    <row r="58" outlineLevel="1">
      <c r="A58" s="3"/>
      <c r="Z58" s="51"/>
      <c r="AA58" s="51"/>
    </row>
    <row r="59">
      <c r="A59" s="4" t="s">
        <v>422</v>
      </c>
      <c r="B59" s="46"/>
      <c r="C59" s="46"/>
      <c r="D59" s="46"/>
      <c r="E59" s="46"/>
      <c r="F59" s="46"/>
      <c r="G59" s="46"/>
      <c r="H59" s="46"/>
      <c r="I59" s="46"/>
      <c r="J59" s="46"/>
      <c r="K59" s="46"/>
      <c r="L59" s="46"/>
      <c r="M59" s="46"/>
      <c r="N59" s="46"/>
      <c r="O59" s="46"/>
      <c r="P59" s="46"/>
      <c r="Q59" s="46"/>
      <c r="R59" s="46"/>
      <c r="S59" s="46"/>
      <c r="T59" s="46"/>
      <c r="U59" s="46"/>
      <c r="V59" s="46"/>
      <c r="W59" s="46"/>
      <c r="X59" s="46"/>
      <c r="Y59" s="46"/>
      <c r="Z59" s="46"/>
      <c r="AA59" s="46"/>
    </row>
    <row r="60" outlineLevel="1">
      <c r="A60" s="6" t="s">
        <v>478</v>
      </c>
      <c r="B60" s="70">
        <f>IF(B$2=1,Inputs!$B$8*Inputs!$D$18,A66)</f>
        <v>2700000</v>
      </c>
      <c r="C60" s="70">
        <f>IF(C$2=1,Inputs!$B$8*Inputs!$D$18,B66)</f>
        <v>2861482.208</v>
      </c>
      <c r="D60" s="70">
        <f>IF(D$2=1,Inputs!$B$8*Inputs!$D$18,C66)</f>
        <v>3021781.178</v>
      </c>
      <c r="E60" s="70">
        <f>IF(E$2=1,Inputs!$B$8*Inputs!$D$18,D66)</f>
        <v>3180917.772</v>
      </c>
      <c r="F60" s="70">
        <f>IF(F$2=1,Inputs!$B$8*Inputs!$D$18,E66)</f>
        <v>3338912.597</v>
      </c>
      <c r="G60" s="70">
        <f>IF(G$2=1,Inputs!$B$8*Inputs!$D$18,F66)</f>
        <v>3495786.005</v>
      </c>
      <c r="H60" s="70">
        <f>IF(H$2=1,Inputs!$B$8*Inputs!$D$18,G66)</f>
        <v>3651558.102</v>
      </c>
      <c r="I60" s="70">
        <f>IF(I$2=1,Inputs!$B$8*Inputs!$D$18,H66)</f>
        <v>3806248.747</v>
      </c>
      <c r="J60" s="70">
        <f>IF(J$2=1,Inputs!$B$8*Inputs!$D$18,I66)</f>
        <v>3993985.771</v>
      </c>
      <c r="K60" s="70">
        <f>IF(K$2=1,Inputs!$B$8*Inputs!$D$18,J66)</f>
        <v>4214041.451</v>
      </c>
      <c r="L60" s="70">
        <f>IF(L$2=1,Inputs!$B$8*Inputs!$D$18,K66)</f>
        <v>4465702.609</v>
      </c>
      <c r="M60" s="70">
        <f>IF(M$2=1,Inputs!$B$8*Inputs!$D$18,L66)</f>
        <v>4748270.356</v>
      </c>
      <c r="N60" s="70">
        <f>IF(N$2=1,Inputs!$B$8*Inputs!$D$18,M66)</f>
        <v>5028750.217</v>
      </c>
      <c r="O60" s="70">
        <f>IF(O$2=1,Inputs!$B$8*Inputs!$D$18,N66)</f>
        <v>5307178.845</v>
      </c>
      <c r="P60" s="70">
        <f>IF(P$2=1,Inputs!$B$8*Inputs!$D$18,O66)</f>
        <v>5583592.441</v>
      </c>
      <c r="Q60" s="70">
        <f>IF(Q$2=1,Inputs!$B$8*Inputs!$D$18,P66)</f>
        <v>5858026.764</v>
      </c>
      <c r="R60" s="70">
        <f>IF(R$2=1,Inputs!$B$8*Inputs!$D$18,Q66)</f>
        <v>6130517.133</v>
      </c>
      <c r="S60" s="70">
        <f>IF(S$2=1,Inputs!$B$8*Inputs!$D$18,R66)</f>
        <v>6401098.437</v>
      </c>
      <c r="T60" s="70">
        <f>IF(T$2=1,Inputs!$B$8*Inputs!$D$18,S66)</f>
        <v>6669805.14</v>
      </c>
      <c r="U60" s="70">
        <f>IF(U$2=1,Inputs!$B$8*Inputs!$D$18,T66)</f>
        <v>6936671.284</v>
      </c>
      <c r="V60" s="70">
        <f>IF(V$2=1,Inputs!$B$8*Inputs!$D$18,U66)</f>
        <v>7201730.498</v>
      </c>
      <c r="W60" s="70">
        <f>IF(W$2=1,Inputs!$B$8*Inputs!$D$18,V66)</f>
        <v>7465016.005</v>
      </c>
      <c r="X60" s="70">
        <f>IF(X$2=1,Inputs!$B$8*Inputs!$D$18,W66)</f>
        <v>7726560.624</v>
      </c>
      <c r="Y60" s="70">
        <f>IF(Y$2=1,Inputs!$B$8*Inputs!$D$18,X66)</f>
        <v>7986396.776</v>
      </c>
      <c r="Z60" s="71">
        <f>B60</f>
        <v>2700000</v>
      </c>
      <c r="AA60" s="71">
        <f>N60</f>
        <v>5028750.217</v>
      </c>
    </row>
    <row r="61" outlineLevel="1">
      <c r="A61" s="12" t="s">
        <v>479</v>
      </c>
      <c r="B61" s="71">
        <f>MIN(Capacity!B77,Funnel!B112)</f>
        <v>147982.2079</v>
      </c>
      <c r="C61" s="71">
        <f>MIN(Capacity!C77,Funnel!C112)</f>
        <v>145991.5591</v>
      </c>
      <c r="D61" s="71">
        <f>MIN(Capacity!D77,Funnel!D112)</f>
        <v>144027.6884</v>
      </c>
      <c r="E61" s="71">
        <f>MIN(Capacity!E77,Funnel!E112)</f>
        <v>142090.2356</v>
      </c>
      <c r="F61" s="71">
        <f>MIN(Capacity!F77,Funnel!F112)</f>
        <v>140178.8453</v>
      </c>
      <c r="G61" s="71">
        <f>MIN(Capacity!G77,Funnel!G112)</f>
        <v>138293.1669</v>
      </c>
      <c r="H61" s="71">
        <f>MIN(Capacity!H77,Funnel!H112)</f>
        <v>136432.8545</v>
      </c>
      <c r="I61" s="71">
        <f>MIN(Capacity!I77,Funnel!I112)</f>
        <v>168705.7806</v>
      </c>
      <c r="J61" s="71">
        <f>MIN(Capacity!J77,Funnel!J112)</f>
        <v>200085.7511</v>
      </c>
      <c r="K61" s="71">
        <f>MIN(Capacity!K77,Funnel!K112)</f>
        <v>230590.9501</v>
      </c>
      <c r="L61" s="71">
        <f>MIN(Capacity!L77,Funnel!L112)</f>
        <v>260239.234</v>
      </c>
      <c r="M61" s="71">
        <f>MIN(Capacity!M77,Funnel!M112)</f>
        <v>256738.5096</v>
      </c>
      <c r="N61" s="71">
        <f>MIN(Capacity!N77,Funnel!N112)</f>
        <v>253284.8768</v>
      </c>
      <c r="O61" s="71">
        <f>MIN(Capacity!O77,Funnel!O112)</f>
        <v>249877.702</v>
      </c>
      <c r="P61" s="71">
        <f>MIN(Capacity!P77,Funnel!P112)</f>
        <v>246516.3604</v>
      </c>
      <c r="Q61" s="71">
        <f>MIN(Capacity!Q77,Funnel!Q112)</f>
        <v>243200.2354</v>
      </c>
      <c r="R61" s="71">
        <f>MIN(Capacity!R77,Funnel!R112)</f>
        <v>239928.7187</v>
      </c>
      <c r="S61" s="71">
        <f>MIN(Capacity!S77,Funnel!S112)</f>
        <v>236701.2103</v>
      </c>
      <c r="T61" s="71">
        <f>MIN(Capacity!T77,Funnel!T112)</f>
        <v>233517.1182</v>
      </c>
      <c r="U61" s="71">
        <f>MIN(Capacity!U77,Funnel!U112)</f>
        <v>230375.8583</v>
      </c>
      <c r="V61" s="71">
        <f>MIN(Capacity!V77,Funnel!V112)</f>
        <v>227276.8544</v>
      </c>
      <c r="W61" s="71">
        <f>MIN(Capacity!W77,Funnel!W112)</f>
        <v>224219.5382</v>
      </c>
      <c r="X61" s="71">
        <f>MIN(Capacity!X77,Funnel!X112)</f>
        <v>221203.3489</v>
      </c>
      <c r="Y61" s="71">
        <f>MIN(Capacity!Y77,Funnel!Y112)</f>
        <v>218227.7331</v>
      </c>
      <c r="Z61" s="71">
        <f t="shared" ref="Z61:Z65" si="23">SUM(B61:M61)</f>
        <v>2111356.783</v>
      </c>
      <c r="AA61" s="71">
        <f t="shared" ref="AA61:AA65" si="24">SUM(N61:Y61)</f>
        <v>2824329.555</v>
      </c>
    </row>
    <row r="62" outlineLevel="1">
      <c r="A62" s="6" t="s">
        <v>480</v>
      </c>
      <c r="B62" s="70">
        <f>B60*Inputs!$G$37/12</f>
        <v>27000</v>
      </c>
      <c r="C62" s="70">
        <f>C60*Inputs!$G$37/12</f>
        <v>28614.82208</v>
      </c>
      <c r="D62" s="70">
        <f>D60*Inputs!$G$37/12</f>
        <v>30217.81178</v>
      </c>
      <c r="E62" s="70">
        <f>E60*Inputs!$G$37/12</f>
        <v>31809.17772</v>
      </c>
      <c r="F62" s="70">
        <f>F60*Inputs!$G$37/12</f>
        <v>33389.12597</v>
      </c>
      <c r="G62" s="70">
        <f>G60*Inputs!$G$37/12</f>
        <v>34957.86005</v>
      </c>
      <c r="H62" s="70">
        <f>H60*Inputs!$G$37/12</f>
        <v>36515.58102</v>
      </c>
      <c r="I62" s="70">
        <f>I60*Inputs!$G$37/12</f>
        <v>38062.48747</v>
      </c>
      <c r="J62" s="70">
        <f>J60*Inputs!$G$37/12</f>
        <v>39939.85771</v>
      </c>
      <c r="K62" s="70">
        <f>K60*Inputs!$G$37/12</f>
        <v>42140.41451</v>
      </c>
      <c r="L62" s="70">
        <f>L60*Inputs!$G$37/12</f>
        <v>44657.02609</v>
      </c>
      <c r="M62" s="70">
        <f>M60*Inputs!$G$37/12</f>
        <v>47482.70356</v>
      </c>
      <c r="N62" s="70">
        <f>N60*Inputs!$G$37/12</f>
        <v>50287.50217</v>
      </c>
      <c r="O62" s="70">
        <f>O60*Inputs!$G$37/12</f>
        <v>53071.78845</v>
      </c>
      <c r="P62" s="70">
        <f>P60*Inputs!$G$37/12</f>
        <v>55835.92441</v>
      </c>
      <c r="Q62" s="70">
        <f>Q60*Inputs!$G$37/12</f>
        <v>58580.26764</v>
      </c>
      <c r="R62" s="70">
        <f>R60*Inputs!$G$37/12</f>
        <v>61305.17133</v>
      </c>
      <c r="S62" s="70">
        <f>S60*Inputs!$G$37/12</f>
        <v>64010.98437</v>
      </c>
      <c r="T62" s="70">
        <f>T60*Inputs!$G$37/12</f>
        <v>66698.0514</v>
      </c>
      <c r="U62" s="70">
        <f>U60*Inputs!$G$37/12</f>
        <v>69366.71284</v>
      </c>
      <c r="V62" s="70">
        <f>V60*Inputs!$G$37/12</f>
        <v>72017.30498</v>
      </c>
      <c r="W62" s="70">
        <f>W60*Inputs!$G$37/12</f>
        <v>74650.16005</v>
      </c>
      <c r="X62" s="70">
        <f>X60*Inputs!$G$37/12</f>
        <v>77265.60624</v>
      </c>
      <c r="Y62" s="70">
        <f>Y60*Inputs!$G$37/12</f>
        <v>79863.96776</v>
      </c>
      <c r="Z62" s="71">
        <f t="shared" si="23"/>
        <v>434786.868</v>
      </c>
      <c r="AA62" s="71">
        <f t="shared" si="24"/>
        <v>782953.4416</v>
      </c>
    </row>
    <row r="63" outlineLevel="1">
      <c r="A63" s="6" t="s">
        <v>481</v>
      </c>
      <c r="B63" s="70">
        <f>-B60*Inputs!$G$36/12</f>
        <v>-4500</v>
      </c>
      <c r="C63" s="70">
        <f>-C60*Inputs!$G$36/12</f>
        <v>-4769.137013</v>
      </c>
      <c r="D63" s="70">
        <f>-D60*Inputs!$G$36/12</f>
        <v>-5036.301964</v>
      </c>
      <c r="E63" s="70">
        <f>-E60*Inputs!$G$36/12</f>
        <v>-5301.529621</v>
      </c>
      <c r="F63" s="70">
        <f>-F60*Inputs!$G$36/12</f>
        <v>-5564.854328</v>
      </c>
      <c r="G63" s="70">
        <f>-G60*Inputs!$G$36/12</f>
        <v>-5826.310008</v>
      </c>
      <c r="H63" s="70">
        <f>-H60*Inputs!$G$36/12</f>
        <v>-6085.93017</v>
      </c>
      <c r="I63" s="70">
        <f>-I60*Inputs!$G$36/12</f>
        <v>-6343.747912</v>
      </c>
      <c r="J63" s="70">
        <f>-J60*Inputs!$G$36/12</f>
        <v>-6656.642952</v>
      </c>
      <c r="K63" s="70">
        <f>-K60*Inputs!$G$36/12</f>
        <v>-7023.402419</v>
      </c>
      <c r="L63" s="70">
        <f>-L60*Inputs!$G$36/12</f>
        <v>-7442.837681</v>
      </c>
      <c r="M63" s="70">
        <f>-M60*Inputs!$G$36/12</f>
        <v>-7913.783926</v>
      </c>
      <c r="N63" s="70">
        <f>-N60*Inputs!$G$36/12</f>
        <v>-8381.250362</v>
      </c>
      <c r="O63" s="70">
        <f>-O60*Inputs!$G$36/12</f>
        <v>-8845.298075</v>
      </c>
      <c r="P63" s="70">
        <f>-P60*Inputs!$G$36/12</f>
        <v>-9305.987402</v>
      </c>
      <c r="Q63" s="70">
        <f>-Q60*Inputs!$G$36/12</f>
        <v>-9763.37794</v>
      </c>
      <c r="R63" s="70">
        <f>-R60*Inputs!$G$36/12</f>
        <v>-10217.52855</v>
      </c>
      <c r="S63" s="70">
        <f>-S60*Inputs!$G$36/12</f>
        <v>-10668.4974</v>
      </c>
      <c r="T63" s="70">
        <f>-T60*Inputs!$G$36/12</f>
        <v>-11116.3419</v>
      </c>
      <c r="U63" s="70">
        <f>-U60*Inputs!$G$36/12</f>
        <v>-11561.11881</v>
      </c>
      <c r="V63" s="70">
        <f>-V60*Inputs!$G$36/12</f>
        <v>-12002.88416</v>
      </c>
      <c r="W63" s="70">
        <f>-W60*Inputs!$G$36/12</f>
        <v>-12441.69334</v>
      </c>
      <c r="X63" s="70">
        <f>-X60*Inputs!$G$36/12</f>
        <v>-12877.60104</v>
      </c>
      <c r="Y63" s="70">
        <f>-Y60*Inputs!$G$36/12</f>
        <v>-13310.66129</v>
      </c>
      <c r="Z63" s="71">
        <f t="shared" si="23"/>
        <v>-72464.47799</v>
      </c>
      <c r="AA63" s="71">
        <f t="shared" si="24"/>
        <v>-130492.2403</v>
      </c>
    </row>
    <row r="64" outlineLevel="1">
      <c r="A64" s="6" t="s">
        <v>482</v>
      </c>
      <c r="B64" s="70">
        <f>-B60*Inputs!$G$35/12</f>
        <v>-9000</v>
      </c>
      <c r="C64" s="70">
        <f>-C60*Inputs!$G$35/12</f>
        <v>-9538.274026</v>
      </c>
      <c r="D64" s="70">
        <f>-D60*Inputs!$G$35/12</f>
        <v>-10072.60393</v>
      </c>
      <c r="E64" s="70">
        <f>-E60*Inputs!$G$35/12</f>
        <v>-10603.05924</v>
      </c>
      <c r="F64" s="70">
        <f>-F60*Inputs!$G$35/12</f>
        <v>-11129.70866</v>
      </c>
      <c r="G64" s="70">
        <f>-G60*Inputs!$G$35/12</f>
        <v>-11652.62002</v>
      </c>
      <c r="H64" s="70">
        <f>-H60*Inputs!$G$35/12</f>
        <v>-12171.86034</v>
      </c>
      <c r="I64" s="70">
        <f>-I60*Inputs!$G$35/12</f>
        <v>-12687.49582</v>
      </c>
      <c r="J64" s="70">
        <f>-J60*Inputs!$G$35/12</f>
        <v>-13313.2859</v>
      </c>
      <c r="K64" s="70">
        <f>-K60*Inputs!$G$35/12</f>
        <v>-14046.80484</v>
      </c>
      <c r="L64" s="70">
        <f>-L60*Inputs!$G$35/12</f>
        <v>-14885.67536</v>
      </c>
      <c r="M64" s="70">
        <f>-M60*Inputs!$G$35/12</f>
        <v>-15827.56785</v>
      </c>
      <c r="N64" s="70">
        <f>-N60*Inputs!$G$35/12</f>
        <v>-16762.50072</v>
      </c>
      <c r="O64" s="70">
        <f>-O60*Inputs!$G$35/12</f>
        <v>-17690.59615</v>
      </c>
      <c r="P64" s="70">
        <f>-P60*Inputs!$G$35/12</f>
        <v>-18611.9748</v>
      </c>
      <c r="Q64" s="70">
        <f>-Q60*Inputs!$G$35/12</f>
        <v>-19526.75588</v>
      </c>
      <c r="R64" s="70">
        <f>-R60*Inputs!$G$35/12</f>
        <v>-20435.05711</v>
      </c>
      <c r="S64" s="70">
        <f>-S60*Inputs!$G$35/12</f>
        <v>-21336.99479</v>
      </c>
      <c r="T64" s="70">
        <f>-T60*Inputs!$G$35/12</f>
        <v>-22232.6838</v>
      </c>
      <c r="U64" s="70">
        <f>-U60*Inputs!$G$35/12</f>
        <v>-23122.23761</v>
      </c>
      <c r="V64" s="70">
        <f>-V60*Inputs!$G$35/12</f>
        <v>-24005.76833</v>
      </c>
      <c r="W64" s="70">
        <f>-W60*Inputs!$G$35/12</f>
        <v>-24883.38668</v>
      </c>
      <c r="X64" s="70">
        <f>-X60*Inputs!$G$35/12</f>
        <v>-25755.20208</v>
      </c>
      <c r="Y64" s="70">
        <f>-Y60*Inputs!$G$35/12</f>
        <v>-26621.32259</v>
      </c>
      <c r="Z64" s="71">
        <f t="shared" si="23"/>
        <v>-144928.956</v>
      </c>
      <c r="AA64" s="71">
        <f t="shared" si="24"/>
        <v>-260984.4805</v>
      </c>
    </row>
    <row r="65" outlineLevel="1">
      <c r="A65" s="6" t="s">
        <v>130</v>
      </c>
      <c r="B65" s="70">
        <f t="shared" ref="B65:Y65" si="25">B61+B62+B63+B64</f>
        <v>161482.2079</v>
      </c>
      <c r="C65" s="70">
        <f t="shared" si="25"/>
        <v>160298.9702</v>
      </c>
      <c r="D65" s="70">
        <f t="shared" si="25"/>
        <v>159136.5943</v>
      </c>
      <c r="E65" s="70">
        <f t="shared" si="25"/>
        <v>157994.8244</v>
      </c>
      <c r="F65" s="70">
        <f t="shared" si="25"/>
        <v>156873.4082</v>
      </c>
      <c r="G65" s="70">
        <f t="shared" si="25"/>
        <v>155772.0969</v>
      </c>
      <c r="H65" s="70">
        <f t="shared" si="25"/>
        <v>154690.645</v>
      </c>
      <c r="I65" s="70">
        <f t="shared" si="25"/>
        <v>187737.0243</v>
      </c>
      <c r="J65" s="70">
        <f t="shared" si="25"/>
        <v>220055.68</v>
      </c>
      <c r="K65" s="70">
        <f t="shared" si="25"/>
        <v>251661.1574</v>
      </c>
      <c r="L65" s="70">
        <f t="shared" si="25"/>
        <v>282567.747</v>
      </c>
      <c r="M65" s="70">
        <f t="shared" si="25"/>
        <v>280479.8614</v>
      </c>
      <c r="N65" s="70">
        <f t="shared" si="25"/>
        <v>278428.6278</v>
      </c>
      <c r="O65" s="70">
        <f t="shared" si="25"/>
        <v>276413.5962</v>
      </c>
      <c r="P65" s="70">
        <f t="shared" si="25"/>
        <v>274434.3226</v>
      </c>
      <c r="Q65" s="70">
        <f t="shared" si="25"/>
        <v>272490.3692</v>
      </c>
      <c r="R65" s="70">
        <f t="shared" si="25"/>
        <v>270581.3044</v>
      </c>
      <c r="S65" s="70">
        <f t="shared" si="25"/>
        <v>268706.7025</v>
      </c>
      <c r="T65" s="70">
        <f t="shared" si="25"/>
        <v>266866.1439</v>
      </c>
      <c r="U65" s="70">
        <f t="shared" si="25"/>
        <v>265059.2147</v>
      </c>
      <c r="V65" s="70">
        <f t="shared" si="25"/>
        <v>263285.5069</v>
      </c>
      <c r="W65" s="70">
        <f t="shared" si="25"/>
        <v>261544.6182</v>
      </c>
      <c r="X65" s="70">
        <f t="shared" si="25"/>
        <v>259836.152</v>
      </c>
      <c r="Y65" s="70">
        <f t="shared" si="25"/>
        <v>258159.717</v>
      </c>
      <c r="Z65" s="71">
        <f t="shared" si="23"/>
        <v>2328750.217</v>
      </c>
      <c r="AA65" s="71">
        <f t="shared" si="24"/>
        <v>3215806.275</v>
      </c>
    </row>
    <row r="66" outlineLevel="1">
      <c r="A66" s="12" t="s">
        <v>150</v>
      </c>
      <c r="B66" s="71">
        <f t="shared" ref="B66:Y66" si="26">B60+B65</f>
        <v>2861482.208</v>
      </c>
      <c r="C66" s="71">
        <f t="shared" si="26"/>
        <v>3021781.178</v>
      </c>
      <c r="D66" s="71">
        <f t="shared" si="26"/>
        <v>3180917.772</v>
      </c>
      <c r="E66" s="71">
        <f t="shared" si="26"/>
        <v>3338912.597</v>
      </c>
      <c r="F66" s="71">
        <f t="shared" si="26"/>
        <v>3495786.005</v>
      </c>
      <c r="G66" s="71">
        <f t="shared" si="26"/>
        <v>3651558.102</v>
      </c>
      <c r="H66" s="71">
        <f t="shared" si="26"/>
        <v>3806248.747</v>
      </c>
      <c r="I66" s="71">
        <f t="shared" si="26"/>
        <v>3993985.771</v>
      </c>
      <c r="J66" s="71">
        <f t="shared" si="26"/>
        <v>4214041.451</v>
      </c>
      <c r="K66" s="71">
        <f t="shared" si="26"/>
        <v>4465702.609</v>
      </c>
      <c r="L66" s="71">
        <f t="shared" si="26"/>
        <v>4748270.356</v>
      </c>
      <c r="M66" s="71">
        <f t="shared" si="26"/>
        <v>5028750.217</v>
      </c>
      <c r="N66" s="71">
        <f t="shared" si="26"/>
        <v>5307178.845</v>
      </c>
      <c r="O66" s="71">
        <f t="shared" si="26"/>
        <v>5583592.441</v>
      </c>
      <c r="P66" s="71">
        <f t="shared" si="26"/>
        <v>5858026.764</v>
      </c>
      <c r="Q66" s="71">
        <f t="shared" si="26"/>
        <v>6130517.133</v>
      </c>
      <c r="R66" s="71">
        <f t="shared" si="26"/>
        <v>6401098.437</v>
      </c>
      <c r="S66" s="71">
        <f t="shared" si="26"/>
        <v>6669805.14</v>
      </c>
      <c r="T66" s="71">
        <f t="shared" si="26"/>
        <v>6936671.284</v>
      </c>
      <c r="U66" s="71">
        <f t="shared" si="26"/>
        <v>7201730.498</v>
      </c>
      <c r="V66" s="71">
        <f t="shared" si="26"/>
        <v>7465016.005</v>
      </c>
      <c r="W66" s="71">
        <f t="shared" si="26"/>
        <v>7726560.624</v>
      </c>
      <c r="X66" s="71">
        <f t="shared" si="26"/>
        <v>7986396.776</v>
      </c>
      <c r="Y66" s="71">
        <f t="shared" si="26"/>
        <v>8244556.493</v>
      </c>
      <c r="Z66" s="71">
        <f>M66</f>
        <v>5028750.217</v>
      </c>
      <c r="AA66" s="71">
        <f>Y66</f>
        <v>8244556.493</v>
      </c>
    </row>
    <row r="67" outlineLevel="1">
      <c r="A67" s="38" t="s">
        <v>483</v>
      </c>
      <c r="B67" s="77">
        <f>Capacity!B65</f>
        <v>147982.2079</v>
      </c>
      <c r="C67" s="77">
        <f>Capacity!C65</f>
        <v>145991.5591</v>
      </c>
      <c r="D67" s="77">
        <f>Capacity!D65</f>
        <v>144027.6884</v>
      </c>
      <c r="E67" s="77">
        <f>Capacity!E65</f>
        <v>142090.2356</v>
      </c>
      <c r="F67" s="77">
        <f>Capacity!F65</f>
        <v>140178.8453</v>
      </c>
      <c r="G67" s="77">
        <f>Capacity!G65</f>
        <v>138293.1669</v>
      </c>
      <c r="H67" s="77">
        <f>Capacity!H65</f>
        <v>136432.8545</v>
      </c>
      <c r="I67" s="77">
        <f>Capacity!I65</f>
        <v>168705.7806</v>
      </c>
      <c r="J67" s="77">
        <f>Capacity!J65</f>
        <v>200085.7511</v>
      </c>
      <c r="K67" s="77">
        <f>Capacity!K65</f>
        <v>230590.9501</v>
      </c>
      <c r="L67" s="77">
        <f>Capacity!L65</f>
        <v>260239.234</v>
      </c>
      <c r="M67" s="77">
        <f>Capacity!M65</f>
        <v>256738.5096</v>
      </c>
      <c r="N67" s="77">
        <f>Capacity!N65</f>
        <v>253284.8768</v>
      </c>
      <c r="O67" s="77">
        <f>Capacity!O65</f>
        <v>249877.702</v>
      </c>
      <c r="P67" s="77">
        <f>Capacity!P65</f>
        <v>246516.3604</v>
      </c>
      <c r="Q67" s="77">
        <f>Capacity!Q65</f>
        <v>243200.2354</v>
      </c>
      <c r="R67" s="77">
        <f>Capacity!R65</f>
        <v>239928.7187</v>
      </c>
      <c r="S67" s="77">
        <f>Capacity!S65</f>
        <v>236701.2103</v>
      </c>
      <c r="T67" s="77">
        <f>Capacity!T65</f>
        <v>233517.1182</v>
      </c>
      <c r="U67" s="77">
        <f>Capacity!U65</f>
        <v>230375.8583</v>
      </c>
      <c r="V67" s="77">
        <f>Capacity!V65</f>
        <v>227276.8544</v>
      </c>
      <c r="W67" s="77">
        <f>Capacity!W65</f>
        <v>224219.5382</v>
      </c>
      <c r="X67" s="77">
        <f>Capacity!X65</f>
        <v>221203.3489</v>
      </c>
      <c r="Y67" s="77">
        <f>Capacity!Y65</f>
        <v>218227.7331</v>
      </c>
      <c r="Z67" s="78">
        <f>SUM(B67:M67)</f>
        <v>2111356.783</v>
      </c>
      <c r="AA67" s="78">
        <f>SUM(N67:Y67)</f>
        <v>2824329.555</v>
      </c>
    </row>
    <row r="68" outlineLevel="1">
      <c r="A68" s="38" t="s">
        <v>484</v>
      </c>
      <c r="B68" s="77">
        <f>IF(B$2=1,Inputs!$B$8*Inputs!$D$18,A68)*(1+(Inputs!$D$37-Inputs!$D$36-Inputs!$D$35)/12)+B67</f>
        <v>2861482.208</v>
      </c>
      <c r="C68" s="77">
        <f>IF(C$2=1,Inputs!$B$8*Inputs!$D$18,B68)*(1+(Inputs!$D$37-Inputs!$D$36-Inputs!$D$35)/12)+C67</f>
        <v>3021781.178</v>
      </c>
      <c r="D68" s="77">
        <f>IF(D$2=1,Inputs!$B$8*Inputs!$D$18,C68)*(1+(Inputs!$D$37-Inputs!$D$36-Inputs!$D$35)/12)+D67</f>
        <v>3180917.772</v>
      </c>
      <c r="E68" s="77">
        <f>IF(E$2=1,Inputs!$B$8*Inputs!$D$18,D68)*(1+(Inputs!$D$37-Inputs!$D$36-Inputs!$D$35)/12)+E67</f>
        <v>3338912.597</v>
      </c>
      <c r="F68" s="77">
        <f>IF(F$2=1,Inputs!$B$8*Inputs!$D$18,E68)*(1+(Inputs!$D$37-Inputs!$D$36-Inputs!$D$35)/12)+F67</f>
        <v>3495786.005</v>
      </c>
      <c r="G68" s="77">
        <f>IF(G$2=1,Inputs!$B$8*Inputs!$D$18,F68)*(1+(Inputs!$D$37-Inputs!$D$36-Inputs!$D$35)/12)+G67</f>
        <v>3651558.102</v>
      </c>
      <c r="H68" s="77">
        <f>IF(H$2=1,Inputs!$B$8*Inputs!$D$18,G68)*(1+(Inputs!$D$37-Inputs!$D$36-Inputs!$D$35)/12)+H67</f>
        <v>3806248.747</v>
      </c>
      <c r="I68" s="77">
        <f>IF(I$2=1,Inputs!$B$8*Inputs!$D$18,H68)*(1+(Inputs!$D$37-Inputs!$D$36-Inputs!$D$35)/12)+I67</f>
        <v>3993985.771</v>
      </c>
      <c r="J68" s="77">
        <f>IF(J$2=1,Inputs!$B$8*Inputs!$D$18,I68)*(1+(Inputs!$D$37-Inputs!$D$36-Inputs!$D$35)/12)+J67</f>
        <v>4214041.451</v>
      </c>
      <c r="K68" s="77">
        <f>IF(K$2=1,Inputs!$B$8*Inputs!$D$18,J68)*(1+(Inputs!$D$37-Inputs!$D$36-Inputs!$D$35)/12)+K67</f>
        <v>4465702.609</v>
      </c>
      <c r="L68" s="77">
        <f>IF(L$2=1,Inputs!$B$8*Inputs!$D$18,K68)*(1+(Inputs!$D$37-Inputs!$D$36-Inputs!$D$35)/12)+L67</f>
        <v>4748270.356</v>
      </c>
      <c r="M68" s="77">
        <f>IF(M$2=1,Inputs!$B$8*Inputs!$D$18,L68)*(1+(Inputs!$D$37-Inputs!$D$36-Inputs!$D$35)/12)+M67</f>
        <v>5028750.217</v>
      </c>
      <c r="N68" s="77">
        <f>IF(N$2=1,Inputs!$B$8*Inputs!$D$18,M68)*(1+(Inputs!$D$37-Inputs!$D$36-Inputs!$D$35)/12)+N67</f>
        <v>5307178.845</v>
      </c>
      <c r="O68" s="77">
        <f>IF(O$2=1,Inputs!$B$8*Inputs!$D$18,N68)*(1+(Inputs!$D$37-Inputs!$D$36-Inputs!$D$35)/12)+O67</f>
        <v>5583592.441</v>
      </c>
      <c r="P68" s="77">
        <f>IF(P$2=1,Inputs!$B$8*Inputs!$D$18,O68)*(1+(Inputs!$D$37-Inputs!$D$36-Inputs!$D$35)/12)+P67</f>
        <v>5858026.764</v>
      </c>
      <c r="Q68" s="77">
        <f>IF(Q$2=1,Inputs!$B$8*Inputs!$D$18,P68)*(1+(Inputs!$D$37-Inputs!$D$36-Inputs!$D$35)/12)+Q67</f>
        <v>6130517.133</v>
      </c>
      <c r="R68" s="77">
        <f>IF(R$2=1,Inputs!$B$8*Inputs!$D$18,Q68)*(1+(Inputs!$D$37-Inputs!$D$36-Inputs!$D$35)/12)+R67</f>
        <v>6401098.437</v>
      </c>
      <c r="S68" s="77">
        <f>IF(S$2=1,Inputs!$B$8*Inputs!$D$18,R68)*(1+(Inputs!$D$37-Inputs!$D$36-Inputs!$D$35)/12)+S67</f>
        <v>6669805.14</v>
      </c>
      <c r="T68" s="77">
        <f>IF(T$2=1,Inputs!$B$8*Inputs!$D$18,S68)*(1+(Inputs!$D$37-Inputs!$D$36-Inputs!$D$35)/12)+T67</f>
        <v>6936671.284</v>
      </c>
      <c r="U68" s="77">
        <f>IF(U$2=1,Inputs!$B$8*Inputs!$D$18,T68)*(1+(Inputs!$D$37-Inputs!$D$36-Inputs!$D$35)/12)+U67</f>
        <v>7201730.498</v>
      </c>
      <c r="V68" s="77">
        <f>IF(V$2=1,Inputs!$B$8*Inputs!$D$18,U68)*(1+(Inputs!$D$37-Inputs!$D$36-Inputs!$D$35)/12)+V67</f>
        <v>7465016.005</v>
      </c>
      <c r="W68" s="77">
        <f>IF(W$2=1,Inputs!$B$8*Inputs!$D$18,V68)*(1+(Inputs!$D$37-Inputs!$D$36-Inputs!$D$35)/12)+W67</f>
        <v>7726560.624</v>
      </c>
      <c r="X68" s="77">
        <f>IF(X$2=1,Inputs!$B$8*Inputs!$D$18,W68)*(1+(Inputs!$D$37-Inputs!$D$36-Inputs!$D$35)/12)+X67</f>
        <v>7986396.776</v>
      </c>
      <c r="Y68" s="77">
        <f>IF(Y$2=1,Inputs!$B$8*Inputs!$D$18,X68)*(1+(Inputs!$D$37-Inputs!$D$36-Inputs!$D$35)/12)+Y67</f>
        <v>8244556.493</v>
      </c>
      <c r="Z68" s="78">
        <f>M68</f>
        <v>5028750.217</v>
      </c>
      <c r="AA68" s="78">
        <f>Y68</f>
        <v>8244556.493</v>
      </c>
    </row>
    <row r="69" outlineLevel="1">
      <c r="A69" s="3"/>
      <c r="Z69" s="51"/>
      <c r="AA69" s="51"/>
    </row>
    <row r="70">
      <c r="A70" s="4" t="s">
        <v>423</v>
      </c>
      <c r="B70" s="46"/>
      <c r="C70" s="46"/>
      <c r="D70" s="46"/>
      <c r="E70" s="46"/>
      <c r="F70" s="46"/>
      <c r="G70" s="46"/>
      <c r="H70" s="46"/>
      <c r="I70" s="46"/>
      <c r="J70" s="46"/>
      <c r="K70" s="46"/>
      <c r="L70" s="46"/>
      <c r="M70" s="46"/>
      <c r="N70" s="46"/>
      <c r="O70" s="46"/>
      <c r="P70" s="46"/>
      <c r="Q70" s="46"/>
      <c r="R70" s="46"/>
      <c r="S70" s="46"/>
      <c r="T70" s="46"/>
      <c r="U70" s="46"/>
      <c r="V70" s="46"/>
      <c r="W70" s="46"/>
      <c r="X70" s="46"/>
      <c r="Y70" s="46"/>
      <c r="Z70" s="46"/>
      <c r="AA70" s="46"/>
    </row>
    <row r="71" outlineLevel="1">
      <c r="A71" s="6" t="s">
        <v>478</v>
      </c>
      <c r="B71" s="70">
        <f t="shared" ref="B71:Y71" si="27">SUM(B38,B49,B60)</f>
        <v>9000000</v>
      </c>
      <c r="C71" s="70">
        <f t="shared" si="27"/>
        <v>9420790.686</v>
      </c>
      <c r="D71" s="70">
        <f t="shared" si="27"/>
        <v>9835576.132</v>
      </c>
      <c r="E71" s="70">
        <f t="shared" si="27"/>
        <v>10309627.78</v>
      </c>
      <c r="F71" s="70">
        <f t="shared" si="27"/>
        <v>10838996.9</v>
      </c>
      <c r="G71" s="70">
        <f t="shared" si="27"/>
        <v>11358544.32</v>
      </c>
      <c r="H71" s="70">
        <f t="shared" si="27"/>
        <v>11901092.83</v>
      </c>
      <c r="I71" s="70">
        <f t="shared" si="27"/>
        <v>12464850.08</v>
      </c>
      <c r="J71" s="70">
        <f t="shared" si="27"/>
        <v>13051531.79</v>
      </c>
      <c r="K71" s="70">
        <f t="shared" si="27"/>
        <v>13660691.86</v>
      </c>
      <c r="L71" s="70">
        <f t="shared" si="27"/>
        <v>14291890.98</v>
      </c>
      <c r="M71" s="70">
        <f t="shared" si="27"/>
        <v>14944696.65</v>
      </c>
      <c r="N71" s="70">
        <f t="shared" si="27"/>
        <v>15586373.44</v>
      </c>
      <c r="O71" s="70">
        <f t="shared" si="27"/>
        <v>16217209.97</v>
      </c>
      <c r="P71" s="70">
        <f t="shared" si="27"/>
        <v>16837487.5</v>
      </c>
      <c r="Q71" s="70">
        <f t="shared" si="27"/>
        <v>17480045.57</v>
      </c>
      <c r="R71" s="70">
        <f t="shared" si="27"/>
        <v>18143108.24</v>
      </c>
      <c r="S71" s="70">
        <f t="shared" si="27"/>
        <v>18838858.43</v>
      </c>
      <c r="T71" s="70">
        <f t="shared" si="27"/>
        <v>19566156.74</v>
      </c>
      <c r="U71" s="70">
        <f t="shared" si="27"/>
        <v>20323894.86</v>
      </c>
      <c r="V71" s="70">
        <f t="shared" si="27"/>
        <v>21068853.25</v>
      </c>
      <c r="W71" s="70">
        <f t="shared" si="27"/>
        <v>21801360.71</v>
      </c>
      <c r="X71" s="70">
        <f t="shared" si="27"/>
        <v>22521737.84</v>
      </c>
      <c r="Y71" s="70">
        <f t="shared" si="27"/>
        <v>23230297.15</v>
      </c>
      <c r="Z71" s="71">
        <f>B71</f>
        <v>9000000</v>
      </c>
      <c r="AA71" s="71">
        <f>N71</f>
        <v>15586373.44</v>
      </c>
    </row>
    <row r="72" outlineLevel="1">
      <c r="A72" s="12" t="s">
        <v>485</v>
      </c>
      <c r="B72" s="71">
        <f t="shared" ref="B72:Y72" si="28">SUM(B39,B50,B61)</f>
        <v>403540.6858</v>
      </c>
      <c r="C72" s="71">
        <f t="shared" si="28"/>
        <v>396112.9646</v>
      </c>
      <c r="D72" s="71">
        <f t="shared" si="28"/>
        <v>453964.3829</v>
      </c>
      <c r="E72" s="71">
        <f t="shared" si="28"/>
        <v>508146.0855</v>
      </c>
      <c r="F72" s="71">
        <f t="shared" si="28"/>
        <v>497450.5767</v>
      </c>
      <c r="G72" s="71">
        <f t="shared" si="28"/>
        <v>519567.7833</v>
      </c>
      <c r="H72" s="71">
        <f t="shared" si="28"/>
        <v>540018.712</v>
      </c>
      <c r="I72" s="71">
        <f t="shared" si="28"/>
        <v>562303.3879</v>
      </c>
      <c r="J72" s="71">
        <f t="shared" si="28"/>
        <v>583953.8866</v>
      </c>
      <c r="K72" s="71">
        <f t="shared" si="28"/>
        <v>604981.435</v>
      </c>
      <c r="L72" s="71">
        <f t="shared" si="28"/>
        <v>625397.1249</v>
      </c>
      <c r="M72" s="71">
        <f t="shared" si="28"/>
        <v>612902.2854</v>
      </c>
      <c r="N72" s="71">
        <f t="shared" si="28"/>
        <v>600686.6199</v>
      </c>
      <c r="O72" s="71">
        <f t="shared" si="28"/>
        <v>588743.2754</v>
      </c>
      <c r="P72" s="71">
        <f t="shared" si="28"/>
        <v>609631.0028</v>
      </c>
      <c r="Q72" s="71">
        <f t="shared" si="28"/>
        <v>628870.4886</v>
      </c>
      <c r="R72" s="71">
        <f t="shared" si="28"/>
        <v>660412.4837</v>
      </c>
      <c r="S72" s="71">
        <f t="shared" si="28"/>
        <v>690613.4896</v>
      </c>
      <c r="T72" s="71">
        <f t="shared" si="28"/>
        <v>719511.2907</v>
      </c>
      <c r="U72" s="71">
        <f t="shared" si="28"/>
        <v>705001.2207</v>
      </c>
      <c r="V72" s="71">
        <f t="shared" si="28"/>
        <v>690813.5875</v>
      </c>
      <c r="W72" s="71">
        <f t="shared" si="28"/>
        <v>676940.5894</v>
      </c>
      <c r="X72" s="71">
        <f t="shared" si="28"/>
        <v>663374.6265</v>
      </c>
      <c r="Y72" s="71">
        <f t="shared" si="28"/>
        <v>650108.2947</v>
      </c>
      <c r="Z72" s="71">
        <f t="shared" ref="Z72:Z76" si="30">SUM(B72:M72)</f>
        <v>6308339.311</v>
      </c>
      <c r="AA72" s="71">
        <f t="shared" ref="AA72:AA76" si="31">SUM(N72:Y72)</f>
        <v>7884706.969</v>
      </c>
    </row>
    <row r="73" outlineLevel="1">
      <c r="A73" s="6" t="s">
        <v>486</v>
      </c>
      <c r="B73" s="70">
        <f t="shared" ref="B73:Y73" si="29">SUM(B40,B51,B62)</f>
        <v>94500</v>
      </c>
      <c r="C73" s="70">
        <f t="shared" si="29"/>
        <v>99123.48729</v>
      </c>
      <c r="D73" s="70">
        <f t="shared" si="29"/>
        <v>103684.0239</v>
      </c>
      <c r="E73" s="70">
        <f t="shared" si="29"/>
        <v>108725.7944</v>
      </c>
      <c r="F73" s="70">
        <f t="shared" si="29"/>
        <v>114216.1439</v>
      </c>
      <c r="G73" s="70">
        <f t="shared" si="29"/>
        <v>119612.493</v>
      </c>
      <c r="H73" s="70">
        <f t="shared" si="29"/>
        <v>125188.6077</v>
      </c>
      <c r="I73" s="70">
        <f t="shared" si="29"/>
        <v>130929.7903</v>
      </c>
      <c r="J73" s="70">
        <f t="shared" si="29"/>
        <v>136907.4199</v>
      </c>
      <c r="K73" s="70">
        <f t="shared" si="29"/>
        <v>143116.7642</v>
      </c>
      <c r="L73" s="70">
        <f t="shared" si="29"/>
        <v>149553.1684</v>
      </c>
      <c r="M73" s="70">
        <f t="shared" si="29"/>
        <v>156212.0544</v>
      </c>
      <c r="N73" s="70">
        <f t="shared" si="29"/>
        <v>162765.8238</v>
      </c>
      <c r="O73" s="70">
        <f t="shared" si="29"/>
        <v>169217.1271</v>
      </c>
      <c r="P73" s="70">
        <f t="shared" si="29"/>
        <v>175568.5494</v>
      </c>
      <c r="Q73" s="70">
        <f t="shared" si="29"/>
        <v>182093.9909</v>
      </c>
      <c r="R73" s="70">
        <f t="shared" si="29"/>
        <v>188778.8853</v>
      </c>
      <c r="S73" s="70">
        <f t="shared" si="29"/>
        <v>195910.6501</v>
      </c>
      <c r="T73" s="70">
        <f t="shared" si="29"/>
        <v>203473.9485</v>
      </c>
      <c r="U73" s="70">
        <f t="shared" si="29"/>
        <v>211453.8629</v>
      </c>
      <c r="V73" s="70">
        <f t="shared" si="29"/>
        <v>219309.1149</v>
      </c>
      <c r="W73" s="70">
        <f t="shared" si="29"/>
        <v>227042.81</v>
      </c>
      <c r="X73" s="70">
        <f t="shared" si="29"/>
        <v>234657.9783</v>
      </c>
      <c r="Y73" s="70">
        <f t="shared" si="29"/>
        <v>242157.5771</v>
      </c>
      <c r="Z73" s="71">
        <f t="shared" si="30"/>
        <v>1481769.748</v>
      </c>
      <c r="AA73" s="71">
        <f t="shared" si="31"/>
        <v>2412430.318</v>
      </c>
    </row>
    <row r="74" outlineLevel="1">
      <c r="A74" s="6" t="s">
        <v>487</v>
      </c>
      <c r="B74" s="70">
        <f t="shared" ref="B74:Y74" si="32">SUM(B41,B52,B63)</f>
        <v>-17250</v>
      </c>
      <c r="C74" s="70">
        <f t="shared" si="32"/>
        <v>-17997.85596</v>
      </c>
      <c r="D74" s="70">
        <f t="shared" si="32"/>
        <v>-18733.87184</v>
      </c>
      <c r="E74" s="70">
        <f t="shared" si="32"/>
        <v>-19621.16466</v>
      </c>
      <c r="F74" s="70">
        <f t="shared" si="32"/>
        <v>-20649.802</v>
      </c>
      <c r="G74" s="70">
        <f t="shared" si="32"/>
        <v>-21656.87639</v>
      </c>
      <c r="H74" s="70">
        <f t="shared" si="32"/>
        <v>-22724.38621</v>
      </c>
      <c r="I74" s="70">
        <f t="shared" si="32"/>
        <v>-23847.79291</v>
      </c>
      <c r="J74" s="70">
        <f t="shared" si="32"/>
        <v>-25002.9056</v>
      </c>
      <c r="K74" s="70">
        <f t="shared" si="32"/>
        <v>-26189.17583</v>
      </c>
      <c r="L74" s="70">
        <f t="shared" si="32"/>
        <v>-27406.06076</v>
      </c>
      <c r="M74" s="70">
        <f t="shared" si="32"/>
        <v>-28653.0233</v>
      </c>
      <c r="N74" s="70">
        <f t="shared" si="32"/>
        <v>-29875.68279</v>
      </c>
      <c r="O74" s="70">
        <f t="shared" si="32"/>
        <v>-31074.69336</v>
      </c>
      <c r="P74" s="70">
        <f t="shared" si="32"/>
        <v>-32250.69181</v>
      </c>
      <c r="Q74" s="70">
        <f t="shared" si="32"/>
        <v>-33485.71164</v>
      </c>
      <c r="R74" s="70">
        <f t="shared" si="32"/>
        <v>-34775.24872</v>
      </c>
      <c r="S74" s="70">
        <f t="shared" si="32"/>
        <v>-36112.56421</v>
      </c>
      <c r="T74" s="70">
        <f t="shared" si="32"/>
        <v>-37495.96081</v>
      </c>
      <c r="U74" s="70">
        <f t="shared" si="32"/>
        <v>-38923.78703</v>
      </c>
      <c r="V74" s="70">
        <f t="shared" si="32"/>
        <v>-40324.20029</v>
      </c>
      <c r="W74" s="70">
        <f t="shared" si="32"/>
        <v>-41697.93298</v>
      </c>
      <c r="X74" s="70">
        <f t="shared" si="32"/>
        <v>-43045.69834</v>
      </c>
      <c r="Y74" s="70">
        <f t="shared" si="32"/>
        <v>-44368.19099</v>
      </c>
      <c r="Z74" s="71">
        <f t="shared" si="30"/>
        <v>-269732.9155</v>
      </c>
      <c r="AA74" s="71">
        <f t="shared" si="31"/>
        <v>-443430.363</v>
      </c>
    </row>
    <row r="75" outlineLevel="1">
      <c r="A75" s="6" t="s">
        <v>488</v>
      </c>
      <c r="B75" s="70">
        <f t="shared" ref="B75:Y75" si="33">SUM(B42,B53,B64)</f>
        <v>-60000</v>
      </c>
      <c r="C75" s="70">
        <f t="shared" si="33"/>
        <v>-62453.14983</v>
      </c>
      <c r="D75" s="70">
        <f t="shared" si="33"/>
        <v>-64862.88343</v>
      </c>
      <c r="E75" s="70">
        <f t="shared" si="33"/>
        <v>-67881.59939</v>
      </c>
      <c r="F75" s="70">
        <f t="shared" si="33"/>
        <v>-71469.49935</v>
      </c>
      <c r="G75" s="70">
        <f t="shared" si="33"/>
        <v>-74974.88555</v>
      </c>
      <c r="H75" s="70">
        <f t="shared" si="33"/>
        <v>-78725.68448</v>
      </c>
      <c r="I75" s="70">
        <f t="shared" si="33"/>
        <v>-82703.6758</v>
      </c>
      <c r="J75" s="70">
        <f t="shared" si="33"/>
        <v>-86698.33648</v>
      </c>
      <c r="K75" s="70">
        <f t="shared" si="33"/>
        <v>-90709.89847</v>
      </c>
      <c r="L75" s="70">
        <f t="shared" si="33"/>
        <v>-94738.56769</v>
      </c>
      <c r="M75" s="70">
        <f t="shared" si="33"/>
        <v>-98784.52537</v>
      </c>
      <c r="N75" s="70">
        <f t="shared" si="33"/>
        <v>-102740.2304</v>
      </c>
      <c r="O75" s="70">
        <f t="shared" si="33"/>
        <v>-106608.1773</v>
      </c>
      <c r="P75" s="70">
        <f t="shared" si="33"/>
        <v>-110390.7924</v>
      </c>
      <c r="Q75" s="70">
        <f t="shared" si="33"/>
        <v>-114416.0907</v>
      </c>
      <c r="R75" s="70">
        <f t="shared" si="33"/>
        <v>-118665.9378</v>
      </c>
      <c r="S75" s="70">
        <f t="shared" si="33"/>
        <v>-123113.262</v>
      </c>
      <c r="T75" s="70">
        <f t="shared" si="33"/>
        <v>-127751.1594</v>
      </c>
      <c r="U75" s="70">
        <f t="shared" si="33"/>
        <v>-132572.9105</v>
      </c>
      <c r="V75" s="70">
        <f t="shared" si="33"/>
        <v>-137291.0328</v>
      </c>
      <c r="W75" s="70">
        <f t="shared" si="33"/>
        <v>-141908.3452</v>
      </c>
      <c r="X75" s="70">
        <f t="shared" si="33"/>
        <v>-146427.5913</v>
      </c>
      <c r="Y75" s="70">
        <f t="shared" si="33"/>
        <v>-150851.4414</v>
      </c>
      <c r="Z75" s="71">
        <f t="shared" si="30"/>
        <v>-934002.7058</v>
      </c>
      <c r="AA75" s="71">
        <f t="shared" si="31"/>
        <v>-1512736.971</v>
      </c>
    </row>
    <row r="76" outlineLevel="1">
      <c r="A76" s="6" t="s">
        <v>130</v>
      </c>
      <c r="B76" s="70">
        <f t="shared" ref="B76:Y76" si="34">SUM(B43,B54,B65)</f>
        <v>420790.6858</v>
      </c>
      <c r="C76" s="70">
        <f t="shared" si="34"/>
        <v>414785.4461</v>
      </c>
      <c r="D76" s="70">
        <f t="shared" si="34"/>
        <v>474051.6516</v>
      </c>
      <c r="E76" s="70">
        <f t="shared" si="34"/>
        <v>529369.1159</v>
      </c>
      <c r="F76" s="70">
        <f t="shared" si="34"/>
        <v>519547.4192</v>
      </c>
      <c r="G76" s="70">
        <f t="shared" si="34"/>
        <v>542548.5144</v>
      </c>
      <c r="H76" s="70">
        <f t="shared" si="34"/>
        <v>563757.249</v>
      </c>
      <c r="I76" s="70">
        <f t="shared" si="34"/>
        <v>586681.7095</v>
      </c>
      <c r="J76" s="70">
        <f t="shared" si="34"/>
        <v>609160.0644</v>
      </c>
      <c r="K76" s="70">
        <f t="shared" si="34"/>
        <v>631199.125</v>
      </c>
      <c r="L76" s="70">
        <f t="shared" si="34"/>
        <v>652805.6649</v>
      </c>
      <c r="M76" s="70">
        <f t="shared" si="34"/>
        <v>641676.7911</v>
      </c>
      <c r="N76" s="70">
        <f t="shared" si="34"/>
        <v>630836.5305</v>
      </c>
      <c r="O76" s="70">
        <f t="shared" si="34"/>
        <v>620277.5319</v>
      </c>
      <c r="P76" s="70">
        <f t="shared" si="34"/>
        <v>642558.0681</v>
      </c>
      <c r="Q76" s="70">
        <f t="shared" si="34"/>
        <v>663062.6771</v>
      </c>
      <c r="R76" s="70">
        <f t="shared" si="34"/>
        <v>695750.1826</v>
      </c>
      <c r="S76" s="70">
        <f t="shared" si="34"/>
        <v>727298.3134</v>
      </c>
      <c r="T76" s="70">
        <f t="shared" si="34"/>
        <v>757738.119</v>
      </c>
      <c r="U76" s="70">
        <f t="shared" si="34"/>
        <v>744958.386</v>
      </c>
      <c r="V76" s="70">
        <f t="shared" si="34"/>
        <v>732507.4693</v>
      </c>
      <c r="W76" s="70">
        <f t="shared" si="34"/>
        <v>720377.1212</v>
      </c>
      <c r="X76" s="70">
        <f t="shared" si="34"/>
        <v>708559.3151</v>
      </c>
      <c r="Y76" s="70">
        <f t="shared" si="34"/>
        <v>697046.2394</v>
      </c>
      <c r="Z76" s="71">
        <f t="shared" si="30"/>
        <v>6586373.437</v>
      </c>
      <c r="AA76" s="71">
        <f t="shared" si="31"/>
        <v>8340969.953</v>
      </c>
    </row>
    <row r="77" outlineLevel="1">
      <c r="A77" s="12" t="s">
        <v>150</v>
      </c>
      <c r="B77" s="71">
        <f t="shared" ref="B77:Y77" si="35">SUM(B44,B55,B66)</f>
        <v>9420790.686</v>
      </c>
      <c r="C77" s="71">
        <f t="shared" si="35"/>
        <v>9835576.132</v>
      </c>
      <c r="D77" s="71">
        <f t="shared" si="35"/>
        <v>10309627.78</v>
      </c>
      <c r="E77" s="71">
        <f t="shared" si="35"/>
        <v>10838996.9</v>
      </c>
      <c r="F77" s="71">
        <f t="shared" si="35"/>
        <v>11358544.32</v>
      </c>
      <c r="G77" s="71">
        <f t="shared" si="35"/>
        <v>11901092.83</v>
      </c>
      <c r="H77" s="71">
        <f t="shared" si="35"/>
        <v>12464850.08</v>
      </c>
      <c r="I77" s="71">
        <f t="shared" si="35"/>
        <v>13051531.79</v>
      </c>
      <c r="J77" s="71">
        <f t="shared" si="35"/>
        <v>13660691.86</v>
      </c>
      <c r="K77" s="71">
        <f t="shared" si="35"/>
        <v>14291890.98</v>
      </c>
      <c r="L77" s="71">
        <f t="shared" si="35"/>
        <v>14944696.65</v>
      </c>
      <c r="M77" s="71">
        <f t="shared" si="35"/>
        <v>15586373.44</v>
      </c>
      <c r="N77" s="71">
        <f t="shared" si="35"/>
        <v>16217209.97</v>
      </c>
      <c r="O77" s="71">
        <f t="shared" si="35"/>
        <v>16837487.5</v>
      </c>
      <c r="P77" s="71">
        <f t="shared" si="35"/>
        <v>17480045.57</v>
      </c>
      <c r="Q77" s="71">
        <f t="shared" si="35"/>
        <v>18143108.24</v>
      </c>
      <c r="R77" s="71">
        <f t="shared" si="35"/>
        <v>18838858.43</v>
      </c>
      <c r="S77" s="71">
        <f t="shared" si="35"/>
        <v>19566156.74</v>
      </c>
      <c r="T77" s="71">
        <f t="shared" si="35"/>
        <v>20323894.86</v>
      </c>
      <c r="U77" s="71">
        <f t="shared" si="35"/>
        <v>21068853.25</v>
      </c>
      <c r="V77" s="71">
        <f t="shared" si="35"/>
        <v>21801360.71</v>
      </c>
      <c r="W77" s="71">
        <f t="shared" si="35"/>
        <v>22521737.84</v>
      </c>
      <c r="X77" s="71">
        <f t="shared" si="35"/>
        <v>23230297.15</v>
      </c>
      <c r="Y77" s="71">
        <f t="shared" si="35"/>
        <v>23927343.39</v>
      </c>
      <c r="Z77" s="71">
        <f>M77</f>
        <v>15586373.44</v>
      </c>
      <c r="AA77" s="71">
        <f>Y77</f>
        <v>23927343.39</v>
      </c>
    </row>
    <row r="78" outlineLevel="1">
      <c r="A78" s="38" t="s">
        <v>489</v>
      </c>
      <c r="B78" s="77">
        <f t="shared" ref="B78:Y78" si="36">SUM(B45,B56,B67)</f>
        <v>403540.6858</v>
      </c>
      <c r="C78" s="77">
        <f t="shared" si="36"/>
        <v>396112.9646</v>
      </c>
      <c r="D78" s="77">
        <f t="shared" si="36"/>
        <v>453964.3829</v>
      </c>
      <c r="E78" s="77">
        <f t="shared" si="36"/>
        <v>508146.0855</v>
      </c>
      <c r="F78" s="77">
        <f t="shared" si="36"/>
        <v>497450.5767</v>
      </c>
      <c r="G78" s="77">
        <f t="shared" si="36"/>
        <v>519567.7833</v>
      </c>
      <c r="H78" s="77">
        <f t="shared" si="36"/>
        <v>540018.712</v>
      </c>
      <c r="I78" s="77">
        <f t="shared" si="36"/>
        <v>562303.3879</v>
      </c>
      <c r="J78" s="77">
        <f t="shared" si="36"/>
        <v>583953.8866</v>
      </c>
      <c r="K78" s="77">
        <f t="shared" si="36"/>
        <v>604981.435</v>
      </c>
      <c r="L78" s="77">
        <f t="shared" si="36"/>
        <v>625397.1249</v>
      </c>
      <c r="M78" s="77">
        <f t="shared" si="36"/>
        <v>612902.2854</v>
      </c>
      <c r="N78" s="77">
        <f t="shared" si="36"/>
        <v>600686.6199</v>
      </c>
      <c r="O78" s="77">
        <f t="shared" si="36"/>
        <v>588743.2754</v>
      </c>
      <c r="P78" s="77">
        <f t="shared" si="36"/>
        <v>609631.0028</v>
      </c>
      <c r="Q78" s="77">
        <f t="shared" si="36"/>
        <v>628870.4886</v>
      </c>
      <c r="R78" s="77">
        <f t="shared" si="36"/>
        <v>660412.4837</v>
      </c>
      <c r="S78" s="77">
        <f t="shared" si="36"/>
        <v>690613.4896</v>
      </c>
      <c r="T78" s="77">
        <f t="shared" si="36"/>
        <v>719511.2907</v>
      </c>
      <c r="U78" s="77">
        <f t="shared" si="36"/>
        <v>705001.2207</v>
      </c>
      <c r="V78" s="77">
        <f t="shared" si="36"/>
        <v>690813.5875</v>
      </c>
      <c r="W78" s="77">
        <f t="shared" si="36"/>
        <v>676940.5894</v>
      </c>
      <c r="X78" s="77">
        <f t="shared" si="36"/>
        <v>663374.6265</v>
      </c>
      <c r="Y78" s="77">
        <f t="shared" si="36"/>
        <v>650108.2947</v>
      </c>
      <c r="Z78" s="78">
        <f>SUM(B78:M78)</f>
        <v>6308339.311</v>
      </c>
      <c r="AA78" s="78">
        <f>SUM(N78:Y78)</f>
        <v>7884706.969</v>
      </c>
    </row>
    <row r="79" outlineLevel="1">
      <c r="A79" s="38" t="s">
        <v>147</v>
      </c>
      <c r="B79" s="77">
        <f t="shared" ref="B79:Y79" si="37">SUM(B46,B57,B68)</f>
        <v>9420790.686</v>
      </c>
      <c r="C79" s="77">
        <f t="shared" si="37"/>
        <v>9835576.132</v>
      </c>
      <c r="D79" s="77">
        <f t="shared" si="37"/>
        <v>10309627.78</v>
      </c>
      <c r="E79" s="77">
        <f t="shared" si="37"/>
        <v>10838996.9</v>
      </c>
      <c r="F79" s="77">
        <f t="shared" si="37"/>
        <v>11358544.32</v>
      </c>
      <c r="G79" s="77">
        <f t="shared" si="37"/>
        <v>11901092.83</v>
      </c>
      <c r="H79" s="77">
        <f t="shared" si="37"/>
        <v>12464850.08</v>
      </c>
      <c r="I79" s="77">
        <f t="shared" si="37"/>
        <v>13051531.79</v>
      </c>
      <c r="J79" s="77">
        <f t="shared" si="37"/>
        <v>13660691.86</v>
      </c>
      <c r="K79" s="77">
        <f t="shared" si="37"/>
        <v>14291890.98</v>
      </c>
      <c r="L79" s="77">
        <f t="shared" si="37"/>
        <v>14944696.65</v>
      </c>
      <c r="M79" s="77">
        <f t="shared" si="37"/>
        <v>15586373.44</v>
      </c>
      <c r="N79" s="77">
        <f t="shared" si="37"/>
        <v>16217209.97</v>
      </c>
      <c r="O79" s="77">
        <f t="shared" si="37"/>
        <v>16837487.5</v>
      </c>
      <c r="P79" s="77">
        <f t="shared" si="37"/>
        <v>17480045.57</v>
      </c>
      <c r="Q79" s="77">
        <f t="shared" si="37"/>
        <v>18143108.24</v>
      </c>
      <c r="R79" s="77">
        <f t="shared" si="37"/>
        <v>18838858.43</v>
      </c>
      <c r="S79" s="77">
        <f t="shared" si="37"/>
        <v>19566156.74</v>
      </c>
      <c r="T79" s="77">
        <f t="shared" si="37"/>
        <v>20323894.86</v>
      </c>
      <c r="U79" s="77">
        <f t="shared" si="37"/>
        <v>21068853.25</v>
      </c>
      <c r="V79" s="77">
        <f t="shared" si="37"/>
        <v>21801360.71</v>
      </c>
      <c r="W79" s="77">
        <f t="shared" si="37"/>
        <v>22521737.84</v>
      </c>
      <c r="X79" s="77">
        <f t="shared" si="37"/>
        <v>23230297.15</v>
      </c>
      <c r="Y79" s="77">
        <f t="shared" si="37"/>
        <v>23927343.39</v>
      </c>
      <c r="Z79" s="78">
        <f>M79</f>
        <v>15586373.44</v>
      </c>
      <c r="AA79" s="78">
        <f>Y79</f>
        <v>23927343.39</v>
      </c>
    </row>
    <row r="80">
      <c r="A80" s="3"/>
    </row>
    <row r="81">
      <c r="A81" s="4" t="s">
        <v>490</v>
      </c>
      <c r="B81" s="46"/>
      <c r="C81" s="46"/>
      <c r="D81" s="46"/>
      <c r="E81" s="46"/>
      <c r="F81" s="46"/>
      <c r="G81" s="46"/>
      <c r="H81" s="46"/>
      <c r="I81" s="46"/>
      <c r="J81" s="46"/>
      <c r="K81" s="46"/>
      <c r="L81" s="46"/>
      <c r="M81" s="46"/>
      <c r="N81" s="46"/>
      <c r="O81" s="46"/>
      <c r="P81" s="46"/>
      <c r="Q81" s="46"/>
      <c r="R81" s="46"/>
      <c r="S81" s="46"/>
      <c r="T81" s="46"/>
      <c r="U81" s="46"/>
      <c r="V81" s="46"/>
      <c r="W81" s="46"/>
      <c r="X81" s="46"/>
      <c r="Y81" s="46"/>
      <c r="Z81" s="46"/>
      <c r="AA81" s="46"/>
    </row>
    <row r="82">
      <c r="A82" s="12" t="s">
        <v>295</v>
      </c>
      <c r="B82" s="82">
        <v>1.0</v>
      </c>
      <c r="C82" s="83">
        <f t="shared" ref="C82:I82" si="38">B82+1</f>
        <v>2</v>
      </c>
      <c r="D82" s="83">
        <f t="shared" si="38"/>
        <v>3</v>
      </c>
      <c r="E82" s="83">
        <f t="shared" si="38"/>
        <v>4</v>
      </c>
      <c r="F82" s="83">
        <f t="shared" si="38"/>
        <v>5</v>
      </c>
      <c r="G82" s="83">
        <f t="shared" si="38"/>
        <v>6</v>
      </c>
      <c r="H82" s="83">
        <f t="shared" si="38"/>
        <v>7</v>
      </c>
      <c r="I82" s="83">
        <f t="shared" si="38"/>
        <v>8</v>
      </c>
    </row>
    <row r="83">
      <c r="A83" s="6" t="s">
        <v>485</v>
      </c>
      <c r="B83" s="70">
        <f t="shared" ref="B83:I83" si="39">SUMIFS($B$72:$Y$72,$B$3:$Y$3,B$82)</f>
        <v>1253618.033</v>
      </c>
      <c r="C83" s="70">
        <f t="shared" si="39"/>
        <v>1525164.445</v>
      </c>
      <c r="D83" s="70">
        <f t="shared" si="39"/>
        <v>1686275.986</v>
      </c>
      <c r="E83" s="70">
        <f t="shared" si="39"/>
        <v>1843280.845</v>
      </c>
      <c r="F83" s="70">
        <f t="shared" si="39"/>
        <v>1799060.898</v>
      </c>
      <c r="G83" s="70">
        <f t="shared" si="39"/>
        <v>1979896.462</v>
      </c>
      <c r="H83" s="70">
        <f t="shared" si="39"/>
        <v>2115326.099</v>
      </c>
      <c r="I83" s="70">
        <f t="shared" si="39"/>
        <v>1990423.511</v>
      </c>
    </row>
    <row r="84">
      <c r="A84" s="6" t="s">
        <v>486</v>
      </c>
      <c r="B84" s="70">
        <f t="shared" ref="B84:I84" si="40">SUMIFS($B$73:$Y$73,$B$3:$Y$3,B$82)</f>
        <v>297307.5112</v>
      </c>
      <c r="C84" s="70">
        <f t="shared" si="40"/>
        <v>342554.4313</v>
      </c>
      <c r="D84" s="70">
        <f t="shared" si="40"/>
        <v>393025.818</v>
      </c>
      <c r="E84" s="70">
        <f t="shared" si="40"/>
        <v>448881.987</v>
      </c>
      <c r="F84" s="70">
        <f t="shared" si="40"/>
        <v>507551.5003</v>
      </c>
      <c r="G84" s="70">
        <f t="shared" si="40"/>
        <v>566783.5263</v>
      </c>
      <c r="H84" s="70">
        <f t="shared" si="40"/>
        <v>634236.9263</v>
      </c>
      <c r="I84" s="70">
        <f t="shared" si="40"/>
        <v>703858.3654</v>
      </c>
    </row>
    <row r="85">
      <c r="A85" s="6" t="s">
        <v>487</v>
      </c>
      <c r="B85" s="70">
        <f t="shared" ref="B85:I85" si="41">SUMIFS($B$74:$Y$74,$B$3:$Y$3,B$82)</f>
        <v>-53981.7278</v>
      </c>
      <c r="C85" s="70">
        <f t="shared" si="41"/>
        <v>-61927.84305</v>
      </c>
      <c r="D85" s="70">
        <f t="shared" si="41"/>
        <v>-71575.08471</v>
      </c>
      <c r="E85" s="70">
        <f t="shared" si="41"/>
        <v>-82248.25989</v>
      </c>
      <c r="F85" s="70">
        <f t="shared" si="41"/>
        <v>-93201.06795</v>
      </c>
      <c r="G85" s="70">
        <f t="shared" si="41"/>
        <v>-104373.5246</v>
      </c>
      <c r="H85" s="70">
        <f t="shared" si="41"/>
        <v>-116743.9481</v>
      </c>
      <c r="I85" s="70">
        <f t="shared" si="41"/>
        <v>-129111.8223</v>
      </c>
    </row>
    <row r="86">
      <c r="A86" s="6" t="s">
        <v>488</v>
      </c>
      <c r="B86" s="70">
        <f t="shared" ref="B86:I86" si="42">SUMIFS($B$75:$Y$75,$B$3:$Y$3,B$82)</f>
        <v>-187316.0333</v>
      </c>
      <c r="C86" s="70">
        <f t="shared" si="42"/>
        <v>-214325.9843</v>
      </c>
      <c r="D86" s="70">
        <f t="shared" si="42"/>
        <v>-248127.6968</v>
      </c>
      <c r="E86" s="70">
        <f t="shared" si="42"/>
        <v>-284232.9915</v>
      </c>
      <c r="F86" s="70">
        <f t="shared" si="42"/>
        <v>-319739.2001</v>
      </c>
      <c r="G86" s="70">
        <f t="shared" si="42"/>
        <v>-356195.2905</v>
      </c>
      <c r="H86" s="70">
        <f t="shared" si="42"/>
        <v>-397615.1028</v>
      </c>
      <c r="I86" s="70">
        <f t="shared" si="42"/>
        <v>-439187.3779</v>
      </c>
    </row>
    <row r="87">
      <c r="A87" s="6" t="s">
        <v>130</v>
      </c>
      <c r="B87" s="70">
        <f t="shared" ref="B87:I87" si="43">SUMIFS($B$76:$Y$76,$B$3:$Y$3,B$82)</f>
        <v>1309627.784</v>
      </c>
      <c r="C87" s="70">
        <f t="shared" si="43"/>
        <v>1591465.049</v>
      </c>
      <c r="D87" s="70">
        <f t="shared" si="43"/>
        <v>1759599.023</v>
      </c>
      <c r="E87" s="70">
        <f t="shared" si="43"/>
        <v>1925681.581</v>
      </c>
      <c r="F87" s="70">
        <f t="shared" si="43"/>
        <v>1893672.13</v>
      </c>
      <c r="G87" s="70">
        <f t="shared" si="43"/>
        <v>2086111.173</v>
      </c>
      <c r="H87" s="70">
        <f t="shared" si="43"/>
        <v>2235203.974</v>
      </c>
      <c r="I87" s="70">
        <f t="shared" si="43"/>
        <v>2125982.676</v>
      </c>
    </row>
    <row r="88">
      <c r="A88" s="6" t="s">
        <v>150</v>
      </c>
      <c r="B88" s="70">
        <f t="shared" ref="B88:I88" si="44">INDEX($B$77:$Y$77,1,B$82*3)</f>
        <v>10309627.78</v>
      </c>
      <c r="C88" s="70">
        <f t="shared" si="44"/>
        <v>11901092.83</v>
      </c>
      <c r="D88" s="70">
        <f t="shared" si="44"/>
        <v>13660691.86</v>
      </c>
      <c r="E88" s="70">
        <f t="shared" si="44"/>
        <v>15586373.44</v>
      </c>
      <c r="F88" s="70">
        <f t="shared" si="44"/>
        <v>17480045.57</v>
      </c>
      <c r="G88" s="70">
        <f t="shared" si="44"/>
        <v>19566156.74</v>
      </c>
      <c r="H88" s="70">
        <f t="shared" si="44"/>
        <v>21801360.71</v>
      </c>
      <c r="I88" s="70">
        <f t="shared" si="44"/>
        <v>23927343.39</v>
      </c>
    </row>
    <row r="89">
      <c r="A89" s="3"/>
    </row>
    <row r="90">
      <c r="A90" s="4" t="s">
        <v>491</v>
      </c>
      <c r="B90" s="46"/>
      <c r="C90" s="46"/>
      <c r="D90" s="46"/>
      <c r="E90" s="46"/>
      <c r="F90" s="46"/>
      <c r="G90" s="46"/>
      <c r="H90" s="46"/>
      <c r="I90" s="46"/>
      <c r="J90" s="46"/>
      <c r="K90" s="46"/>
      <c r="L90" s="46"/>
      <c r="M90" s="46"/>
      <c r="N90" s="46"/>
      <c r="O90" s="46"/>
      <c r="P90" s="46"/>
      <c r="Q90" s="46"/>
      <c r="R90" s="46"/>
      <c r="S90" s="46"/>
      <c r="T90" s="46"/>
      <c r="U90" s="46"/>
      <c r="V90" s="46"/>
      <c r="W90" s="46"/>
      <c r="X90" s="46"/>
      <c r="Y90" s="46"/>
      <c r="Z90" s="46"/>
      <c r="AA90" s="46"/>
    </row>
    <row r="91">
      <c r="A91" s="38" t="s">
        <v>492</v>
      </c>
    </row>
    <row r="92">
      <c r="A92" s="6" t="s">
        <v>493</v>
      </c>
      <c r="B92" s="95" t="str">
        <f t="array" ref="B92">IF(B$2&lt;12,"",IF((INDEX($B$38:$Y$38,1,B$2-11)+INDEX($B$49:$Y$49,1,B$2-11)+INDEX($B$60:$Y$60,1,B$2-11))=0,"",(INDEX($B$38:$Y$38,1,B$2-11)*(1-(Inputs!$E$35+Inputs!$E$36)/12)^12+INDEX($B$49:$Y$49,1,B$2-11)*(1-(Inputs!$F$35+Inputs!$F$36)/12)^12+INDEX($B$60:$Y$60,1,B$2-11)*(1-(Inputs!$G$35+Inputs!$G$36)/12)^12)/(INDEX($B$38:$Y$38,1,B$2-11)+INDEX($B$49:$Y$49,1,B$2-11)+INDEX($B$60:$Y$60,1,B$2-11))))</f>
        <v/>
      </c>
      <c r="C92" s="95" t="str">
        <f t="array" ref="C92">IF(C$2&lt;12,"",IF((INDEX($B$38:$Y$38,1,C$2-11)+INDEX($B$49:$Y$49,1,C$2-11)+INDEX($B$60:$Y$60,1,C$2-11))=0,"",(INDEX($B$38:$Y$38,1,C$2-11)*(1-(Inputs!$E$35+Inputs!$E$36)/12)^12+INDEX($B$49:$Y$49,1,C$2-11)*(1-(Inputs!$F$35+Inputs!$F$36)/12)^12+INDEX($B$60:$Y$60,1,C$2-11)*(1-(Inputs!$G$35+Inputs!$G$36)/12)^12)/(INDEX($B$38:$Y$38,1,C$2-11)+INDEX($B$49:$Y$49,1,C$2-11)+INDEX($B$60:$Y$60,1,C$2-11))))</f>
        <v/>
      </c>
      <c r="D92" s="95" t="str">
        <f t="array" ref="D92">IF(D$2&lt;12,"",IF((INDEX($B$38:$Y$38,1,D$2-11)+INDEX($B$49:$Y$49,1,D$2-11)+INDEX($B$60:$Y$60,1,D$2-11))=0,"",(INDEX($B$38:$Y$38,1,D$2-11)*(1-(Inputs!$E$35+Inputs!$E$36)/12)^12+INDEX($B$49:$Y$49,1,D$2-11)*(1-(Inputs!$F$35+Inputs!$F$36)/12)^12+INDEX($B$60:$Y$60,1,D$2-11)*(1-(Inputs!$G$35+Inputs!$G$36)/12)^12)/(INDEX($B$38:$Y$38,1,D$2-11)+INDEX($B$49:$Y$49,1,D$2-11)+INDEX($B$60:$Y$60,1,D$2-11))))</f>
        <v/>
      </c>
      <c r="E92" s="95" t="str">
        <f t="array" ref="E92">IF(E$2&lt;12,"",IF((INDEX($B$38:$Y$38,1,E$2-11)+INDEX($B$49:$Y$49,1,E$2-11)+INDEX($B$60:$Y$60,1,E$2-11))=0,"",(INDEX($B$38:$Y$38,1,E$2-11)*(1-(Inputs!$E$35+Inputs!$E$36)/12)^12+INDEX($B$49:$Y$49,1,E$2-11)*(1-(Inputs!$F$35+Inputs!$F$36)/12)^12+INDEX($B$60:$Y$60,1,E$2-11)*(1-(Inputs!$G$35+Inputs!$G$36)/12)^12)/(INDEX($B$38:$Y$38,1,E$2-11)+INDEX($B$49:$Y$49,1,E$2-11)+INDEX($B$60:$Y$60,1,E$2-11))))</f>
        <v/>
      </c>
      <c r="F92" s="95" t="str">
        <f t="array" ref="F92">IF(F$2&lt;12,"",IF((INDEX($B$38:$Y$38,1,F$2-11)+INDEX($B$49:$Y$49,1,F$2-11)+INDEX($B$60:$Y$60,1,F$2-11))=0,"",(INDEX($B$38:$Y$38,1,F$2-11)*(1-(Inputs!$E$35+Inputs!$E$36)/12)^12+INDEX($B$49:$Y$49,1,F$2-11)*(1-(Inputs!$F$35+Inputs!$F$36)/12)^12+INDEX($B$60:$Y$60,1,F$2-11)*(1-(Inputs!$G$35+Inputs!$G$36)/12)^12)/(INDEX($B$38:$Y$38,1,F$2-11)+INDEX($B$49:$Y$49,1,F$2-11)+INDEX($B$60:$Y$60,1,F$2-11))))</f>
        <v/>
      </c>
      <c r="G92" s="95" t="str">
        <f t="array" ref="G92">IF(G$2&lt;12,"",IF((INDEX($B$38:$Y$38,1,G$2-11)+INDEX($B$49:$Y$49,1,G$2-11)+INDEX($B$60:$Y$60,1,G$2-11))=0,"",(INDEX($B$38:$Y$38,1,G$2-11)*(1-(Inputs!$E$35+Inputs!$E$36)/12)^12+INDEX($B$49:$Y$49,1,G$2-11)*(1-(Inputs!$F$35+Inputs!$F$36)/12)^12+INDEX($B$60:$Y$60,1,G$2-11)*(1-(Inputs!$G$35+Inputs!$G$36)/12)^12)/(INDEX($B$38:$Y$38,1,G$2-11)+INDEX($B$49:$Y$49,1,G$2-11)+INDEX($B$60:$Y$60,1,G$2-11))))</f>
        <v/>
      </c>
      <c r="H92" s="95" t="str">
        <f t="array" ref="H92">IF(H$2&lt;12,"",IF((INDEX($B$38:$Y$38,1,H$2-11)+INDEX($B$49:$Y$49,1,H$2-11)+INDEX($B$60:$Y$60,1,H$2-11))=0,"",(INDEX($B$38:$Y$38,1,H$2-11)*(1-(Inputs!$E$35+Inputs!$E$36)/12)^12+INDEX($B$49:$Y$49,1,H$2-11)*(1-(Inputs!$F$35+Inputs!$F$36)/12)^12+INDEX($B$60:$Y$60,1,H$2-11)*(1-(Inputs!$G$35+Inputs!$G$36)/12)^12)/(INDEX($B$38:$Y$38,1,H$2-11)+INDEX($B$49:$Y$49,1,H$2-11)+INDEX($B$60:$Y$60,1,H$2-11))))</f>
        <v/>
      </c>
      <c r="I92" s="95" t="str">
        <f t="array" ref="I92">IF(I$2&lt;12,"",IF((INDEX($B$38:$Y$38,1,I$2-11)+INDEX($B$49:$Y$49,1,I$2-11)+INDEX($B$60:$Y$60,1,I$2-11))=0,"",(INDEX($B$38:$Y$38,1,I$2-11)*(1-(Inputs!$E$35+Inputs!$E$36)/12)^12+INDEX($B$49:$Y$49,1,I$2-11)*(1-(Inputs!$F$35+Inputs!$F$36)/12)^12+INDEX($B$60:$Y$60,1,I$2-11)*(1-(Inputs!$G$35+Inputs!$G$36)/12)^12)/(INDEX($B$38:$Y$38,1,I$2-11)+INDEX($B$49:$Y$49,1,I$2-11)+INDEX($B$60:$Y$60,1,I$2-11))))</f>
        <v/>
      </c>
      <c r="J92" s="95" t="str">
        <f t="array" ref="J92">IF(J$2&lt;12,"",IF((INDEX($B$38:$Y$38,1,J$2-11)+INDEX($B$49:$Y$49,1,J$2-11)+INDEX($B$60:$Y$60,1,J$2-11))=0,"",(INDEX($B$38:$Y$38,1,J$2-11)*(1-(Inputs!$E$35+Inputs!$E$36)/12)^12+INDEX($B$49:$Y$49,1,J$2-11)*(1-(Inputs!$F$35+Inputs!$F$36)/12)^12+INDEX($B$60:$Y$60,1,J$2-11)*(1-(Inputs!$G$35+Inputs!$G$36)/12)^12)/(INDEX($B$38:$Y$38,1,J$2-11)+INDEX($B$49:$Y$49,1,J$2-11)+INDEX($B$60:$Y$60,1,J$2-11))))</f>
        <v/>
      </c>
      <c r="K92" s="95" t="str">
        <f t="array" ref="K92">IF(K$2&lt;12,"",IF((INDEX($B$38:$Y$38,1,K$2-11)+INDEX($B$49:$Y$49,1,K$2-11)+INDEX($B$60:$Y$60,1,K$2-11))=0,"",(INDEX($B$38:$Y$38,1,K$2-11)*(1-(Inputs!$E$35+Inputs!$E$36)/12)^12+INDEX($B$49:$Y$49,1,K$2-11)*(1-(Inputs!$F$35+Inputs!$F$36)/12)^12+INDEX($B$60:$Y$60,1,K$2-11)*(1-(Inputs!$G$35+Inputs!$G$36)/12)^12)/(INDEX($B$38:$Y$38,1,K$2-11)+INDEX($B$49:$Y$49,1,K$2-11)+INDEX($B$60:$Y$60,1,K$2-11))))</f>
        <v/>
      </c>
      <c r="L92" s="95" t="str">
        <f t="array" ref="L92">IF(L$2&lt;12,"",IF((INDEX($B$38:$Y$38,1,L$2-11)+INDEX($B$49:$Y$49,1,L$2-11)+INDEX($B$60:$Y$60,1,L$2-11))=0,"",(INDEX($B$38:$Y$38,1,L$2-11)*(1-(Inputs!$E$35+Inputs!$E$36)/12)^12+INDEX($B$49:$Y$49,1,L$2-11)*(1-(Inputs!$F$35+Inputs!$F$36)/12)^12+INDEX($B$60:$Y$60,1,L$2-11)*(1-(Inputs!$G$35+Inputs!$G$36)/12)^12)/(INDEX($B$38:$Y$38,1,L$2-11)+INDEX($B$49:$Y$49,1,L$2-11)+INDEX($B$60:$Y$60,1,L$2-11))))</f>
        <v/>
      </c>
      <c r="M92" s="95">
        <f t="array" ref="M92">IF(M$2&lt;12,"",IF((INDEX($B$38:$Y$38,1,M$2-11)+INDEX($B$49:$Y$49,1,M$2-11)+INDEX($B$60:$Y$60,1,M$2-11))=0,"",(INDEX($B$38:$Y$38,1,M$2-11)*(1-(Inputs!$E$35+Inputs!$E$36)/12)^12+INDEX($B$49:$Y$49,1,M$2-11)*(1-(Inputs!$F$35+Inputs!$F$36)/12)^12+INDEX($B$60:$Y$60,1,M$2-11)*(1-(Inputs!$G$35+Inputs!$G$36)/12)^12)/(INDEX($B$38:$Y$38,1,M$2-11)+INDEX($B$49:$Y$49,1,M$2-11)+INDEX($B$60:$Y$60,1,M$2-11))))</f>
        <v>0.9022385895</v>
      </c>
      <c r="N92" s="95">
        <f t="array" ref="N92">IF(N$2&lt;12,"",IF((INDEX($B$38:$Y$38,1,N$2-11)+INDEX($B$49:$Y$49,1,N$2-11)+INDEX($B$60:$Y$60,1,N$2-11))=0,"",(INDEX($B$38:$Y$38,1,N$2-11)*(1-(Inputs!$E$35+Inputs!$E$36)/12)^12+INDEX($B$49:$Y$49,1,N$2-11)*(1-(Inputs!$F$35+Inputs!$F$36)/12)^12+INDEX($B$60:$Y$60,1,N$2-11)*(1-(Inputs!$G$35+Inputs!$G$36)/12)^12)/(INDEX($B$38:$Y$38,1,N$2-11)+INDEX($B$49:$Y$49,1,N$2-11)+INDEX($B$60:$Y$60,1,N$2-11))))</f>
        <v>0.9027106055</v>
      </c>
      <c r="O92" s="95">
        <f t="array" ref="O92">IF(O$2&lt;12,"",IF((INDEX($B$38:$Y$38,1,O$2-11)+INDEX($B$49:$Y$49,1,O$2-11)+INDEX($B$60:$Y$60,1,O$2-11))=0,"",(INDEX($B$38:$Y$38,1,O$2-11)*(1-(Inputs!$E$35+Inputs!$E$36)/12)^12+INDEX($B$49:$Y$49,1,O$2-11)*(1-(Inputs!$F$35+Inputs!$F$36)/12)^12+INDEX($B$60:$Y$60,1,O$2-11)*(1-(Inputs!$G$35+Inputs!$G$36)/12)^12)/(INDEX($B$38:$Y$38,1,O$2-11)+INDEX($B$49:$Y$49,1,O$2-11)+INDEX($B$60:$Y$60,1,O$2-11))))</f>
        <v>0.9031469407</v>
      </c>
      <c r="P92" s="95">
        <f t="array" ref="P92">IF(P$2&lt;12,"",IF((INDEX($B$38:$Y$38,1,P$2-11)+INDEX($B$49:$Y$49,1,P$2-11)+INDEX($B$60:$Y$60,1,P$2-11))=0,"",(INDEX($B$38:$Y$38,1,P$2-11)*(1-(Inputs!$E$35+Inputs!$E$36)/12)^12+INDEX($B$49:$Y$49,1,P$2-11)*(1-(Inputs!$F$35+Inputs!$F$36)/12)^12+INDEX($B$60:$Y$60,1,P$2-11)*(1-(Inputs!$G$35+Inputs!$G$36)/12)^12)/(INDEX($B$38:$Y$38,1,P$2-11)+INDEX($B$49:$Y$49,1,P$2-11)+INDEX($B$60:$Y$60,1,P$2-11))))</f>
        <v>0.903276687</v>
      </c>
      <c r="Q92" s="95">
        <f t="array" ref="Q92">IF(Q$2&lt;12,"",IF((INDEX($B$38:$Y$38,1,Q$2-11)+INDEX($B$49:$Y$49,1,Q$2-11)+INDEX($B$60:$Y$60,1,Q$2-11))=0,"",(INDEX($B$38:$Y$38,1,Q$2-11)*(1-(Inputs!$E$35+Inputs!$E$36)/12)^12+INDEX($B$49:$Y$49,1,Q$2-11)*(1-(Inputs!$F$35+Inputs!$F$36)/12)^12+INDEX($B$60:$Y$60,1,Q$2-11)*(1-(Inputs!$G$35+Inputs!$G$36)/12)^12)/(INDEX($B$38:$Y$38,1,Q$2-11)+INDEX($B$49:$Y$49,1,Q$2-11)+INDEX($B$60:$Y$60,1,Q$2-11))))</f>
        <v>0.9031540524</v>
      </c>
      <c r="R92" s="95">
        <f t="array" ref="R92">IF(R$2&lt;12,"",IF((INDEX($B$38:$Y$38,1,R$2-11)+INDEX($B$49:$Y$49,1,R$2-11)+INDEX($B$60:$Y$60,1,R$2-11))=0,"",(INDEX($B$38:$Y$38,1,R$2-11)*(1-(Inputs!$E$35+Inputs!$E$36)/12)^12+INDEX($B$49:$Y$49,1,R$2-11)*(1-(Inputs!$F$35+Inputs!$F$36)/12)^12+INDEX($B$60:$Y$60,1,R$2-11)*(1-(Inputs!$G$35+Inputs!$G$36)/12)^12)/(INDEX($B$38:$Y$38,1,R$2-11)+INDEX($B$49:$Y$49,1,R$2-11)+INDEX($B$60:$Y$60,1,R$2-11))))</f>
        <v>0.9030623966</v>
      </c>
      <c r="S92" s="95">
        <f t="array" ref="S92">IF(S$2&lt;12,"",IF((INDEX($B$38:$Y$38,1,S$2-11)+INDEX($B$49:$Y$49,1,S$2-11)+INDEX($B$60:$Y$60,1,S$2-11))=0,"",(INDEX($B$38:$Y$38,1,S$2-11)*(1-(Inputs!$E$35+Inputs!$E$36)/12)^12+INDEX($B$49:$Y$49,1,S$2-11)*(1-(Inputs!$F$35+Inputs!$F$36)/12)^12+INDEX($B$60:$Y$60,1,S$2-11)*(1-(Inputs!$G$35+Inputs!$G$36)/12)^12)/(INDEX($B$38:$Y$38,1,S$2-11)+INDEX($B$49:$Y$49,1,S$2-11)+INDEX($B$60:$Y$60,1,S$2-11))))</f>
        <v>0.9028788738</v>
      </c>
      <c r="T92" s="95">
        <f t="array" ref="T92">IF(T$2&lt;12,"",IF((INDEX($B$38:$Y$38,1,T$2-11)+INDEX($B$49:$Y$49,1,T$2-11)+INDEX($B$60:$Y$60,1,T$2-11))=0,"",(INDEX($B$38:$Y$38,1,T$2-11)*(1-(Inputs!$E$35+Inputs!$E$36)/12)^12+INDEX($B$49:$Y$49,1,T$2-11)*(1-(Inputs!$F$35+Inputs!$F$36)/12)^12+INDEX($B$60:$Y$60,1,T$2-11)*(1-(Inputs!$G$35+Inputs!$G$36)/12)^12)/(INDEX($B$38:$Y$38,1,T$2-11)+INDEX($B$49:$Y$49,1,T$2-11)+INDEX($B$60:$Y$60,1,T$2-11))))</f>
        <v>0.9026229436</v>
      </c>
      <c r="U92" s="95">
        <f t="array" ref="U92">IF(U$2&lt;12,"",IF((INDEX($B$38:$Y$38,1,U$2-11)+INDEX($B$49:$Y$49,1,U$2-11)+INDEX($B$60:$Y$60,1,U$2-11))=0,"",(INDEX($B$38:$Y$38,1,U$2-11)*(1-(Inputs!$E$35+Inputs!$E$36)/12)^12+INDEX($B$49:$Y$49,1,U$2-11)*(1-(Inputs!$F$35+Inputs!$F$36)/12)^12+INDEX($B$60:$Y$60,1,U$2-11)*(1-(Inputs!$G$35+Inputs!$G$36)/12)^12)/(INDEX($B$38:$Y$38,1,U$2-11)+INDEX($B$49:$Y$49,1,U$2-11)+INDEX($B$60:$Y$60,1,U$2-11))))</f>
        <v>0.9025135351</v>
      </c>
      <c r="V92" s="95">
        <f t="array" ref="V92">IF(V$2&lt;12,"",IF((INDEX($B$38:$Y$38,1,V$2-11)+INDEX($B$49:$Y$49,1,V$2-11)+INDEX($B$60:$Y$60,1,V$2-11))=0,"",(INDEX($B$38:$Y$38,1,V$2-11)*(1-(Inputs!$E$35+Inputs!$E$36)/12)^12+INDEX($B$49:$Y$49,1,V$2-11)*(1-(Inputs!$F$35+Inputs!$F$36)/12)^12+INDEX($B$60:$Y$60,1,V$2-11)*(1-(Inputs!$G$35+Inputs!$G$36)/12)^12)/(INDEX($B$38:$Y$38,1,V$2-11)+INDEX($B$49:$Y$49,1,V$2-11)+INDEX($B$60:$Y$60,1,V$2-11))))</f>
        <v>0.9025295155</v>
      </c>
      <c r="W92" s="95">
        <f t="array" ref="W92">IF(W$2&lt;12,"",IF((INDEX($B$38:$Y$38,1,W$2-11)+INDEX($B$49:$Y$49,1,W$2-11)+INDEX($B$60:$Y$60,1,W$2-11))=0,"",(INDEX($B$38:$Y$38,1,W$2-11)*(1-(Inputs!$E$35+Inputs!$E$36)/12)^12+INDEX($B$49:$Y$49,1,W$2-11)*(1-(Inputs!$F$35+Inputs!$F$36)/12)^12+INDEX($B$60:$Y$60,1,W$2-11)*(1-(Inputs!$G$35+Inputs!$G$36)/12)^12)/(INDEX($B$38:$Y$38,1,W$2-11)+INDEX($B$49:$Y$49,1,W$2-11)+INDEX($B$60:$Y$60,1,W$2-11))))</f>
        <v>0.9026521583</v>
      </c>
      <c r="X92" s="95">
        <f t="array" ref="X92">IF(X$2&lt;12,"",IF((INDEX($B$38:$Y$38,1,X$2-11)+INDEX($B$49:$Y$49,1,X$2-11)+INDEX($B$60:$Y$60,1,X$2-11))=0,"",(INDEX($B$38:$Y$38,1,X$2-11)*(1-(Inputs!$E$35+Inputs!$E$36)/12)^12+INDEX($B$49:$Y$49,1,X$2-11)*(1-(Inputs!$F$35+Inputs!$F$36)/12)^12+INDEX($B$60:$Y$60,1,X$2-11)*(1-(Inputs!$G$35+Inputs!$G$36)/12)^12)/(INDEX($B$38:$Y$38,1,X$2-11)+INDEX($B$49:$Y$49,1,X$2-11)+INDEX($B$60:$Y$60,1,X$2-11))))</f>
        <v>0.9028649649</v>
      </c>
      <c r="Y92" s="95">
        <f t="array" ref="Y92">IF(Y$2&lt;12,"",IF((INDEX($B$38:$Y$38,1,Y$2-11)+INDEX($B$49:$Y$49,1,Y$2-11)+INDEX($B$60:$Y$60,1,Y$2-11))=0,"",(INDEX($B$38:$Y$38,1,Y$2-11)*(1-(Inputs!$E$35+Inputs!$E$36)/12)^12+INDEX($B$49:$Y$49,1,Y$2-11)*(1-(Inputs!$F$35+Inputs!$F$36)/12)^12+INDEX($B$60:$Y$60,1,Y$2-11)*(1-(Inputs!$G$35+Inputs!$G$36)/12)^12)/(INDEX($B$38:$Y$38,1,Y$2-11)+INDEX($B$49:$Y$49,1,Y$2-11)+INDEX($B$60:$Y$60,1,Y$2-11))))</f>
        <v>0.9030737263</v>
      </c>
    </row>
    <row r="93">
      <c r="A93" s="6" t="s">
        <v>494</v>
      </c>
      <c r="B93" s="95" t="str">
        <f t="array" ref="B93">IF(B$2&lt;12,"",IF((INDEX($B$38:$Y$38,1,B$2-11)+INDEX($B$49:$Y$49,1,B$2-11)+INDEX($B$60:$Y$60,1,B$2-11))=0,"",(INDEX($B$38:$Y$38,1,B$2-11)*(1+(Inputs!$E$37-Inputs!$E$35-Inputs!$E$36)/12)^12+INDEX($B$49:$Y$49,1,B$2-11)*(1+(Inputs!$F$37-Inputs!$F$35-Inputs!$F$36)/12)^12+INDEX($B$60:$Y$60,1,B$2-11)*(1+(Inputs!$G$37-Inputs!$G$35-Inputs!$G$36)/12)^12)/(INDEX($B$38:$Y$38,1,B$2-11)+INDEX($B$49:$Y$49,1,B$2-11)+INDEX($B$60:$Y$60,1,B$2-11))))</f>
        <v/>
      </c>
      <c r="C93" s="95" t="str">
        <f t="array" ref="C93">IF(C$2&lt;12,"",IF((INDEX($B$38:$Y$38,1,C$2-11)+INDEX($B$49:$Y$49,1,C$2-11)+INDEX($B$60:$Y$60,1,C$2-11))=0,"",(INDEX($B$38:$Y$38,1,C$2-11)*(1+(Inputs!$E$37-Inputs!$E$35-Inputs!$E$36)/12)^12+INDEX($B$49:$Y$49,1,C$2-11)*(1+(Inputs!$F$37-Inputs!$F$35-Inputs!$F$36)/12)^12+INDEX($B$60:$Y$60,1,C$2-11)*(1+(Inputs!$G$37-Inputs!$G$35-Inputs!$G$36)/12)^12)/(INDEX($B$38:$Y$38,1,C$2-11)+INDEX($B$49:$Y$49,1,C$2-11)+INDEX($B$60:$Y$60,1,C$2-11))))</f>
        <v/>
      </c>
      <c r="D93" s="95" t="str">
        <f t="array" ref="D93">IF(D$2&lt;12,"",IF((INDEX($B$38:$Y$38,1,D$2-11)+INDEX($B$49:$Y$49,1,D$2-11)+INDEX($B$60:$Y$60,1,D$2-11))=0,"",(INDEX($B$38:$Y$38,1,D$2-11)*(1+(Inputs!$E$37-Inputs!$E$35-Inputs!$E$36)/12)^12+INDEX($B$49:$Y$49,1,D$2-11)*(1+(Inputs!$F$37-Inputs!$F$35-Inputs!$F$36)/12)^12+INDEX($B$60:$Y$60,1,D$2-11)*(1+(Inputs!$G$37-Inputs!$G$35-Inputs!$G$36)/12)^12)/(INDEX($B$38:$Y$38,1,D$2-11)+INDEX($B$49:$Y$49,1,D$2-11)+INDEX($B$60:$Y$60,1,D$2-11))))</f>
        <v/>
      </c>
      <c r="E93" s="95" t="str">
        <f t="array" ref="E93">IF(E$2&lt;12,"",IF((INDEX($B$38:$Y$38,1,E$2-11)+INDEX($B$49:$Y$49,1,E$2-11)+INDEX($B$60:$Y$60,1,E$2-11))=0,"",(INDEX($B$38:$Y$38,1,E$2-11)*(1+(Inputs!$E$37-Inputs!$E$35-Inputs!$E$36)/12)^12+INDEX($B$49:$Y$49,1,E$2-11)*(1+(Inputs!$F$37-Inputs!$F$35-Inputs!$F$36)/12)^12+INDEX($B$60:$Y$60,1,E$2-11)*(1+(Inputs!$G$37-Inputs!$G$35-Inputs!$G$36)/12)^12)/(INDEX($B$38:$Y$38,1,E$2-11)+INDEX($B$49:$Y$49,1,E$2-11)+INDEX($B$60:$Y$60,1,E$2-11))))</f>
        <v/>
      </c>
      <c r="F93" s="95" t="str">
        <f t="array" ref="F93">IF(F$2&lt;12,"",IF((INDEX($B$38:$Y$38,1,F$2-11)+INDEX($B$49:$Y$49,1,F$2-11)+INDEX($B$60:$Y$60,1,F$2-11))=0,"",(INDEX($B$38:$Y$38,1,F$2-11)*(1+(Inputs!$E$37-Inputs!$E$35-Inputs!$E$36)/12)^12+INDEX($B$49:$Y$49,1,F$2-11)*(1+(Inputs!$F$37-Inputs!$F$35-Inputs!$F$36)/12)^12+INDEX($B$60:$Y$60,1,F$2-11)*(1+(Inputs!$G$37-Inputs!$G$35-Inputs!$G$36)/12)^12)/(INDEX($B$38:$Y$38,1,F$2-11)+INDEX($B$49:$Y$49,1,F$2-11)+INDEX($B$60:$Y$60,1,F$2-11))))</f>
        <v/>
      </c>
      <c r="G93" s="95" t="str">
        <f t="array" ref="G93">IF(G$2&lt;12,"",IF((INDEX($B$38:$Y$38,1,G$2-11)+INDEX($B$49:$Y$49,1,G$2-11)+INDEX($B$60:$Y$60,1,G$2-11))=0,"",(INDEX($B$38:$Y$38,1,G$2-11)*(1+(Inputs!$E$37-Inputs!$E$35-Inputs!$E$36)/12)^12+INDEX($B$49:$Y$49,1,G$2-11)*(1+(Inputs!$F$37-Inputs!$F$35-Inputs!$F$36)/12)^12+INDEX($B$60:$Y$60,1,G$2-11)*(1+(Inputs!$G$37-Inputs!$G$35-Inputs!$G$36)/12)^12)/(INDEX($B$38:$Y$38,1,G$2-11)+INDEX($B$49:$Y$49,1,G$2-11)+INDEX($B$60:$Y$60,1,G$2-11))))</f>
        <v/>
      </c>
      <c r="H93" s="95" t="str">
        <f t="array" ref="H93">IF(H$2&lt;12,"",IF((INDEX($B$38:$Y$38,1,H$2-11)+INDEX($B$49:$Y$49,1,H$2-11)+INDEX($B$60:$Y$60,1,H$2-11))=0,"",(INDEX($B$38:$Y$38,1,H$2-11)*(1+(Inputs!$E$37-Inputs!$E$35-Inputs!$E$36)/12)^12+INDEX($B$49:$Y$49,1,H$2-11)*(1+(Inputs!$F$37-Inputs!$F$35-Inputs!$F$36)/12)^12+INDEX($B$60:$Y$60,1,H$2-11)*(1+(Inputs!$G$37-Inputs!$G$35-Inputs!$G$36)/12)^12)/(INDEX($B$38:$Y$38,1,H$2-11)+INDEX($B$49:$Y$49,1,H$2-11)+INDEX($B$60:$Y$60,1,H$2-11))))</f>
        <v/>
      </c>
      <c r="I93" s="95" t="str">
        <f t="array" ref="I93">IF(I$2&lt;12,"",IF((INDEX($B$38:$Y$38,1,I$2-11)+INDEX($B$49:$Y$49,1,I$2-11)+INDEX($B$60:$Y$60,1,I$2-11))=0,"",(INDEX($B$38:$Y$38,1,I$2-11)*(1+(Inputs!$E$37-Inputs!$E$35-Inputs!$E$36)/12)^12+INDEX($B$49:$Y$49,1,I$2-11)*(1+(Inputs!$F$37-Inputs!$F$35-Inputs!$F$36)/12)^12+INDEX($B$60:$Y$60,1,I$2-11)*(1+(Inputs!$G$37-Inputs!$G$35-Inputs!$G$36)/12)^12)/(INDEX($B$38:$Y$38,1,I$2-11)+INDEX($B$49:$Y$49,1,I$2-11)+INDEX($B$60:$Y$60,1,I$2-11))))</f>
        <v/>
      </c>
      <c r="J93" s="95" t="str">
        <f t="array" ref="J93">IF(J$2&lt;12,"",IF((INDEX($B$38:$Y$38,1,J$2-11)+INDEX($B$49:$Y$49,1,J$2-11)+INDEX($B$60:$Y$60,1,J$2-11))=0,"",(INDEX($B$38:$Y$38,1,J$2-11)*(1+(Inputs!$E$37-Inputs!$E$35-Inputs!$E$36)/12)^12+INDEX($B$49:$Y$49,1,J$2-11)*(1+(Inputs!$F$37-Inputs!$F$35-Inputs!$F$36)/12)^12+INDEX($B$60:$Y$60,1,J$2-11)*(1+(Inputs!$G$37-Inputs!$G$35-Inputs!$G$36)/12)^12)/(INDEX($B$38:$Y$38,1,J$2-11)+INDEX($B$49:$Y$49,1,J$2-11)+INDEX($B$60:$Y$60,1,J$2-11))))</f>
        <v/>
      </c>
      <c r="K93" s="95" t="str">
        <f t="array" ref="K93">IF(K$2&lt;12,"",IF((INDEX($B$38:$Y$38,1,K$2-11)+INDEX($B$49:$Y$49,1,K$2-11)+INDEX($B$60:$Y$60,1,K$2-11))=0,"",(INDEX($B$38:$Y$38,1,K$2-11)*(1+(Inputs!$E$37-Inputs!$E$35-Inputs!$E$36)/12)^12+INDEX($B$49:$Y$49,1,K$2-11)*(1+(Inputs!$F$37-Inputs!$F$35-Inputs!$F$36)/12)^12+INDEX($B$60:$Y$60,1,K$2-11)*(1+(Inputs!$G$37-Inputs!$G$35-Inputs!$G$36)/12)^12)/(INDEX($B$38:$Y$38,1,K$2-11)+INDEX($B$49:$Y$49,1,K$2-11)+INDEX($B$60:$Y$60,1,K$2-11))))</f>
        <v/>
      </c>
      <c r="L93" s="95" t="str">
        <f t="array" ref="L93">IF(L$2&lt;12,"",IF((INDEX($B$38:$Y$38,1,L$2-11)+INDEX($B$49:$Y$49,1,L$2-11)+INDEX($B$60:$Y$60,1,L$2-11))=0,"",(INDEX($B$38:$Y$38,1,L$2-11)*(1+(Inputs!$E$37-Inputs!$E$35-Inputs!$E$36)/12)^12+INDEX($B$49:$Y$49,1,L$2-11)*(1+(Inputs!$F$37-Inputs!$F$35-Inputs!$F$36)/12)^12+INDEX($B$60:$Y$60,1,L$2-11)*(1+(Inputs!$G$37-Inputs!$G$35-Inputs!$G$36)/12)^12)/(INDEX($B$38:$Y$38,1,L$2-11)+INDEX($B$49:$Y$49,1,L$2-11)+INDEX($B$60:$Y$60,1,L$2-11))))</f>
        <v/>
      </c>
      <c r="M93" s="95">
        <f t="array" ref="M93">IF(M$2&lt;12,"",IF((INDEX($B$38:$Y$38,1,M$2-11)+INDEX($B$49:$Y$49,1,M$2-11)+INDEX($B$60:$Y$60,1,M$2-11))=0,"",(INDEX($B$38:$Y$38,1,M$2-11)*(1+(Inputs!$E$37-Inputs!$E$35-Inputs!$E$36)/12)^12+INDEX($B$49:$Y$49,1,M$2-11)*(1+(Inputs!$F$37-Inputs!$F$35-Inputs!$F$36)/12)^12+INDEX($B$60:$Y$60,1,M$2-11)*(1+(Inputs!$G$37-Inputs!$G$35-Inputs!$G$36)/12)^12)/(INDEX($B$38:$Y$38,1,M$2-11)+INDEX($B$49:$Y$49,1,M$2-11)+INDEX($B$60:$Y$60,1,M$2-11))))</f>
        <v>1.024307123</v>
      </c>
      <c r="N93" s="95">
        <f t="array" ref="N93">IF(N$2&lt;12,"",IF((INDEX($B$38:$Y$38,1,N$2-11)+INDEX($B$49:$Y$49,1,N$2-11)+INDEX($B$60:$Y$60,1,N$2-11))=0,"",(INDEX($B$38:$Y$38,1,N$2-11)*(1+(Inputs!$E$37-Inputs!$E$35-Inputs!$E$36)/12)^12+INDEX($B$49:$Y$49,1,N$2-11)*(1+(Inputs!$F$37-Inputs!$F$35-Inputs!$F$36)/12)^12+INDEX($B$60:$Y$60,1,N$2-11)*(1+(Inputs!$G$37-Inputs!$G$35-Inputs!$G$36)/12)^12)/(INDEX($B$38:$Y$38,1,N$2-11)+INDEX($B$49:$Y$49,1,N$2-11)+INDEX($B$60:$Y$60,1,N$2-11))))</f>
        <v>1.025093895</v>
      </c>
      <c r="O93" s="95">
        <f t="array" ref="O93">IF(O$2&lt;12,"",IF((INDEX($B$38:$Y$38,1,O$2-11)+INDEX($B$49:$Y$49,1,O$2-11)+INDEX($B$60:$Y$60,1,O$2-11))=0,"",(INDEX($B$38:$Y$38,1,O$2-11)*(1+(Inputs!$E$37-Inputs!$E$35-Inputs!$E$36)/12)^12+INDEX($B$49:$Y$49,1,O$2-11)*(1+(Inputs!$F$37-Inputs!$F$35-Inputs!$F$36)/12)^12+INDEX($B$60:$Y$60,1,O$2-11)*(1+(Inputs!$G$37-Inputs!$G$35-Inputs!$G$36)/12)^12)/(INDEX($B$38:$Y$38,1,O$2-11)+INDEX($B$49:$Y$49,1,O$2-11)+INDEX($B$60:$Y$60,1,O$2-11))))</f>
        <v>1.025818997</v>
      </c>
      <c r="P93" s="95">
        <f t="array" ref="P93">IF(P$2&lt;12,"",IF((INDEX($B$38:$Y$38,1,P$2-11)+INDEX($B$49:$Y$49,1,P$2-11)+INDEX($B$60:$Y$60,1,P$2-11))=0,"",(INDEX($B$38:$Y$38,1,P$2-11)*(1+(Inputs!$E$37-Inputs!$E$35-Inputs!$E$36)/12)^12+INDEX($B$49:$Y$49,1,P$2-11)*(1+(Inputs!$F$37-Inputs!$F$35-Inputs!$F$36)/12)^12+INDEX($B$60:$Y$60,1,P$2-11)*(1+(Inputs!$G$37-Inputs!$G$35-Inputs!$G$36)/12)^12)/(INDEX($B$38:$Y$38,1,P$2-11)+INDEX($B$49:$Y$49,1,P$2-11)+INDEX($B$60:$Y$60,1,P$2-11))))</f>
        <v>1.026014813</v>
      </c>
      <c r="Q93" s="95">
        <f t="array" ref="Q93">IF(Q$2&lt;12,"",IF((INDEX($B$38:$Y$38,1,Q$2-11)+INDEX($B$49:$Y$49,1,Q$2-11)+INDEX($B$60:$Y$60,1,Q$2-11))=0,"",(INDEX($B$38:$Y$38,1,Q$2-11)*(1+(Inputs!$E$37-Inputs!$E$35-Inputs!$E$36)/12)^12+INDEX($B$49:$Y$49,1,Q$2-11)*(1+(Inputs!$F$37-Inputs!$F$35-Inputs!$F$36)/12)^12+INDEX($B$60:$Y$60,1,Q$2-11)*(1+(Inputs!$G$37-Inputs!$G$35-Inputs!$G$36)/12)^12)/(INDEX($B$38:$Y$38,1,Q$2-11)+INDEX($B$49:$Y$49,1,Q$2-11)+INDEX($B$60:$Y$60,1,Q$2-11))))</f>
        <v>1.025775427</v>
      </c>
      <c r="R93" s="95">
        <f t="array" ref="R93">IF(R$2&lt;12,"",IF((INDEX($B$38:$Y$38,1,R$2-11)+INDEX($B$49:$Y$49,1,R$2-11)+INDEX($B$60:$Y$60,1,R$2-11))=0,"",(INDEX($B$38:$Y$38,1,R$2-11)*(1+(Inputs!$E$37-Inputs!$E$35-Inputs!$E$36)/12)^12+INDEX($B$49:$Y$49,1,R$2-11)*(1+(Inputs!$F$37-Inputs!$F$35-Inputs!$F$36)/12)^12+INDEX($B$60:$Y$60,1,R$2-11)*(1+(Inputs!$G$37-Inputs!$G$35-Inputs!$G$36)/12)^12)/(INDEX($B$38:$Y$38,1,R$2-11)+INDEX($B$49:$Y$49,1,R$2-11)+INDEX($B$60:$Y$60,1,R$2-11))))</f>
        <v>1.025590043</v>
      </c>
      <c r="S93" s="95">
        <f t="array" ref="S93">IF(S$2&lt;12,"",IF((INDEX($B$38:$Y$38,1,S$2-11)+INDEX($B$49:$Y$49,1,S$2-11)+INDEX($B$60:$Y$60,1,S$2-11))=0,"",(INDEX($B$38:$Y$38,1,S$2-11)*(1+(Inputs!$E$37-Inputs!$E$35-Inputs!$E$36)/12)^12+INDEX($B$49:$Y$49,1,S$2-11)*(1+(Inputs!$F$37-Inputs!$F$35-Inputs!$F$36)/12)^12+INDEX($B$60:$Y$60,1,S$2-11)*(1+(Inputs!$G$37-Inputs!$G$35-Inputs!$G$36)/12)^12)/(INDEX($B$38:$Y$38,1,S$2-11)+INDEX($B$49:$Y$49,1,S$2-11)+INDEX($B$60:$Y$60,1,S$2-11))))</f>
        <v>1.025246743</v>
      </c>
      <c r="T93" s="95">
        <f t="array" ref="T93">IF(T$2&lt;12,"",IF((INDEX($B$38:$Y$38,1,T$2-11)+INDEX($B$49:$Y$49,1,T$2-11)+INDEX($B$60:$Y$60,1,T$2-11))=0,"",(INDEX($B$38:$Y$38,1,T$2-11)*(1+(Inputs!$E$37-Inputs!$E$35-Inputs!$E$36)/12)^12+INDEX($B$49:$Y$49,1,T$2-11)*(1+(Inputs!$F$37-Inputs!$F$35-Inputs!$F$36)/12)^12+INDEX($B$60:$Y$60,1,T$2-11)*(1+(Inputs!$G$37-Inputs!$G$35-Inputs!$G$36)/12)^12)/(INDEX($B$38:$Y$38,1,T$2-11)+INDEX($B$49:$Y$49,1,T$2-11)+INDEX($B$60:$Y$60,1,T$2-11))))</f>
        <v>1.024779204</v>
      </c>
      <c r="U93" s="95">
        <f t="array" ref="U93">IF(U$2&lt;12,"",IF((INDEX($B$38:$Y$38,1,U$2-11)+INDEX($B$49:$Y$49,1,U$2-11)+INDEX($B$60:$Y$60,1,U$2-11))=0,"",(INDEX($B$38:$Y$38,1,U$2-11)*(1+(Inputs!$E$37-Inputs!$E$35-Inputs!$E$36)/12)^12+INDEX($B$49:$Y$49,1,U$2-11)*(1+(Inputs!$F$37-Inputs!$F$35-Inputs!$F$36)/12)^12+INDEX($B$60:$Y$60,1,U$2-11)*(1+(Inputs!$G$37-Inputs!$G$35-Inputs!$G$36)/12)^12)/(INDEX($B$38:$Y$38,1,U$2-11)+INDEX($B$49:$Y$49,1,U$2-11)+INDEX($B$60:$Y$60,1,U$2-11))))</f>
        <v>1.024485638</v>
      </c>
      <c r="V93" s="95">
        <f t="array" ref="V93">IF(V$2&lt;12,"",IF((INDEX($B$38:$Y$38,1,V$2-11)+INDEX($B$49:$Y$49,1,V$2-11)+INDEX($B$60:$Y$60,1,V$2-11))=0,"",(INDEX($B$38:$Y$38,1,V$2-11)*(1+(Inputs!$E$37-Inputs!$E$35-Inputs!$E$36)/12)^12+INDEX($B$49:$Y$49,1,V$2-11)*(1+(Inputs!$F$37-Inputs!$F$35-Inputs!$F$36)/12)^12+INDEX($B$60:$Y$60,1,V$2-11)*(1+(Inputs!$G$37-Inputs!$G$35-Inputs!$G$36)/12)^12)/(INDEX($B$38:$Y$38,1,V$2-11)+INDEX($B$49:$Y$49,1,V$2-11)+INDEX($B$60:$Y$60,1,V$2-11))))</f>
        <v>1.024341959</v>
      </c>
      <c r="W93" s="95">
        <f t="array" ref="W93">IF(W$2&lt;12,"",IF((INDEX($B$38:$Y$38,1,W$2-11)+INDEX($B$49:$Y$49,1,W$2-11)+INDEX($B$60:$Y$60,1,W$2-11))=0,"",(INDEX($B$38:$Y$38,1,W$2-11)*(1+(Inputs!$E$37-Inputs!$E$35-Inputs!$E$36)/12)^12+INDEX($B$49:$Y$49,1,W$2-11)*(1+(Inputs!$F$37-Inputs!$F$35-Inputs!$F$36)/12)^12+INDEX($B$60:$Y$60,1,W$2-11)*(1+(Inputs!$G$37-Inputs!$G$35-Inputs!$G$36)/12)^12)/(INDEX($B$38:$Y$38,1,W$2-11)+INDEX($B$49:$Y$49,1,W$2-11)+INDEX($B$60:$Y$60,1,W$2-11))))</f>
        <v>1.024326741</v>
      </c>
      <c r="X93" s="95">
        <f t="array" ref="X93">IF(X$2&lt;12,"",IF((INDEX($B$38:$Y$38,1,X$2-11)+INDEX($B$49:$Y$49,1,X$2-11)+INDEX($B$60:$Y$60,1,X$2-11))=0,"",(INDEX($B$38:$Y$38,1,X$2-11)*(1+(Inputs!$E$37-Inputs!$E$35-Inputs!$E$36)/12)^12+INDEX($B$49:$Y$49,1,X$2-11)*(1+(Inputs!$F$37-Inputs!$F$35-Inputs!$F$36)/12)^12+INDEX($B$60:$Y$60,1,X$2-11)*(1+(Inputs!$G$37-Inputs!$G$35-Inputs!$G$36)/12)^12)/(INDEX($B$38:$Y$38,1,X$2-11)+INDEX($B$49:$Y$49,1,X$2-11)+INDEX($B$60:$Y$60,1,X$2-11))))</f>
        <v>1.024421033</v>
      </c>
      <c r="Y93" s="95">
        <f t="array" ref="Y93">IF(Y$2&lt;12,"",IF((INDEX($B$38:$Y$38,1,Y$2-11)+INDEX($B$49:$Y$49,1,Y$2-11)+INDEX($B$60:$Y$60,1,Y$2-11))=0,"",(INDEX($B$38:$Y$38,1,Y$2-11)*(1+(Inputs!$E$37-Inputs!$E$35-Inputs!$E$36)/12)^12+INDEX($B$49:$Y$49,1,Y$2-11)*(1+(Inputs!$F$37-Inputs!$F$35-Inputs!$F$36)/12)^12+INDEX($B$60:$Y$60,1,Y$2-11)*(1+(Inputs!$G$37-Inputs!$G$35-Inputs!$G$36)/12)^12)/(INDEX($B$38:$Y$38,1,Y$2-11)+INDEX($B$49:$Y$49,1,Y$2-11)+INDEX($B$60:$Y$60,1,Y$2-11))))</f>
        <v>1.024531312</v>
      </c>
    </row>
    <row r="94">
      <c r="A94" s="3"/>
    </row>
    <row r="95">
      <c r="A95" s="4" t="s">
        <v>373</v>
      </c>
      <c r="B95" s="46"/>
      <c r="C95" s="46"/>
      <c r="D95" s="46"/>
      <c r="E95" s="46"/>
      <c r="F95" s="46"/>
      <c r="G95" s="46"/>
      <c r="H95" s="46"/>
      <c r="I95" s="46"/>
      <c r="J95" s="46"/>
      <c r="K95" s="46"/>
      <c r="L95" s="46"/>
      <c r="M95" s="46"/>
      <c r="N95" s="46"/>
      <c r="O95" s="46"/>
      <c r="P95" s="46"/>
      <c r="Q95" s="46"/>
      <c r="R95" s="46"/>
      <c r="S95" s="46"/>
      <c r="T95" s="46"/>
      <c r="U95" s="46"/>
      <c r="V95" s="46"/>
      <c r="W95" s="46"/>
      <c r="X95" s="46"/>
      <c r="Y95" s="46"/>
      <c r="Z95" s="46"/>
      <c r="AA95" s="46"/>
    </row>
    <row r="96">
      <c r="A96" s="6" t="s">
        <v>495</v>
      </c>
    </row>
    <row r="97">
      <c r="A97" s="6" t="s">
        <v>496</v>
      </c>
    </row>
    <row r="98">
      <c r="A98" s="6" t="s">
        <v>497</v>
      </c>
    </row>
    <row r="99">
      <c r="A99" s="6" t="s">
        <v>498</v>
      </c>
    </row>
    <row r="100">
      <c r="A100" s="6" t="s">
        <v>499</v>
      </c>
    </row>
  </sheetData>
  <conditionalFormatting sqref="B24:C26">
    <cfRule type="cellIs" dxfId="0" priority="1" stopIfTrue="1" operator="greaterThan">
      <formula>0</formula>
    </cfRule>
  </conditionalFormatting>
  <conditionalFormatting sqref="D20:D21">
    <cfRule type="cellIs" dxfId="0" priority="2" stopIfTrue="1" operator="lessThan">
      <formula>-0.5</formula>
    </cfRule>
  </conditionalFormatting>
  <conditionalFormatting sqref="E6:F9">
    <cfRule type="cellIs" dxfId="0" priority="3" stopIfTrue="1" operator="lessThan">
      <formula>-0.5</formula>
    </cfRule>
  </conditionalFormatting>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ySplit="2.0" topLeftCell="B3" activePane="bottomRight" state="frozen"/>
      <selection activeCell="B1" sqref="B1" pane="topRight"/>
      <selection activeCell="A3" sqref="A3" pane="bottomLeft"/>
      <selection activeCell="B3" sqref="B3" pane="bottomRight"/>
    </sheetView>
  </sheetViews>
  <sheetFormatPr customHeight="1" defaultColWidth="14.43" defaultRowHeight="15.0" outlineLevelRow="1"/>
  <cols>
    <col customWidth="1" min="1" max="1" width="80.14"/>
    <col customWidth="1" min="2" max="27" width="14.43"/>
  </cols>
  <sheetData>
    <row r="1">
      <c r="A1" s="1" t="s">
        <v>500</v>
      </c>
    </row>
    <row r="2">
      <c r="A2" s="4" t="s">
        <v>294</v>
      </c>
      <c r="B2" s="67">
        <v>1.0</v>
      </c>
      <c r="C2" s="46">
        <f t="shared" ref="C2:Y2" si="1">B2+1</f>
        <v>2</v>
      </c>
      <c r="D2" s="46">
        <f t="shared" si="1"/>
        <v>3</v>
      </c>
      <c r="E2" s="46">
        <f t="shared" si="1"/>
        <v>4</v>
      </c>
      <c r="F2" s="46">
        <f t="shared" si="1"/>
        <v>5</v>
      </c>
      <c r="G2" s="46">
        <f t="shared" si="1"/>
        <v>6</v>
      </c>
      <c r="H2" s="46">
        <f t="shared" si="1"/>
        <v>7</v>
      </c>
      <c r="I2" s="46">
        <f t="shared" si="1"/>
        <v>8</v>
      </c>
      <c r="J2" s="46">
        <f t="shared" si="1"/>
        <v>9</v>
      </c>
      <c r="K2" s="46">
        <f t="shared" si="1"/>
        <v>10</v>
      </c>
      <c r="L2" s="46">
        <f t="shared" si="1"/>
        <v>11</v>
      </c>
      <c r="M2" s="46">
        <f t="shared" si="1"/>
        <v>12</v>
      </c>
      <c r="N2" s="46">
        <f t="shared" si="1"/>
        <v>13</v>
      </c>
      <c r="O2" s="46">
        <f t="shared" si="1"/>
        <v>14</v>
      </c>
      <c r="P2" s="46">
        <f t="shared" si="1"/>
        <v>15</v>
      </c>
      <c r="Q2" s="46">
        <f t="shared" si="1"/>
        <v>16</v>
      </c>
      <c r="R2" s="46">
        <f t="shared" si="1"/>
        <v>17</v>
      </c>
      <c r="S2" s="46">
        <f t="shared" si="1"/>
        <v>18</v>
      </c>
      <c r="T2" s="46">
        <f t="shared" si="1"/>
        <v>19</v>
      </c>
      <c r="U2" s="46">
        <f t="shared" si="1"/>
        <v>20</v>
      </c>
      <c r="V2" s="46">
        <f t="shared" si="1"/>
        <v>21</v>
      </c>
      <c r="W2" s="46">
        <f t="shared" si="1"/>
        <v>22</v>
      </c>
      <c r="X2" s="46">
        <f t="shared" si="1"/>
        <v>23</v>
      </c>
      <c r="Y2" s="46">
        <f t="shared" si="1"/>
        <v>24</v>
      </c>
      <c r="Z2" s="68" t="s">
        <v>119</v>
      </c>
      <c r="AA2" s="68" t="s">
        <v>120</v>
      </c>
    </row>
    <row r="3">
      <c r="A3" s="38" t="s">
        <v>295</v>
      </c>
      <c r="B3" s="69">
        <f t="shared" ref="B3:Y3" si="2">ROUNDUP(B$2/3,0)</f>
        <v>1</v>
      </c>
      <c r="C3" s="69">
        <f t="shared" si="2"/>
        <v>1</v>
      </c>
      <c r="D3" s="69">
        <f t="shared" si="2"/>
        <v>1</v>
      </c>
      <c r="E3" s="69">
        <f t="shared" si="2"/>
        <v>2</v>
      </c>
      <c r="F3" s="69">
        <f t="shared" si="2"/>
        <v>2</v>
      </c>
      <c r="G3" s="69">
        <f t="shared" si="2"/>
        <v>2</v>
      </c>
      <c r="H3" s="69">
        <f t="shared" si="2"/>
        <v>3</v>
      </c>
      <c r="I3" s="69">
        <f t="shared" si="2"/>
        <v>3</v>
      </c>
      <c r="J3" s="69">
        <f t="shared" si="2"/>
        <v>3</v>
      </c>
      <c r="K3" s="69">
        <f t="shared" si="2"/>
        <v>4</v>
      </c>
      <c r="L3" s="69">
        <f t="shared" si="2"/>
        <v>4</v>
      </c>
      <c r="M3" s="69">
        <f t="shared" si="2"/>
        <v>4</v>
      </c>
      <c r="N3" s="69">
        <f t="shared" si="2"/>
        <v>5</v>
      </c>
      <c r="O3" s="69">
        <f t="shared" si="2"/>
        <v>5</v>
      </c>
      <c r="P3" s="69">
        <f t="shared" si="2"/>
        <v>5</v>
      </c>
      <c r="Q3" s="69">
        <f t="shared" si="2"/>
        <v>6</v>
      </c>
      <c r="R3" s="69">
        <f t="shared" si="2"/>
        <v>6</v>
      </c>
      <c r="S3" s="69">
        <f t="shared" si="2"/>
        <v>6</v>
      </c>
      <c r="T3" s="69">
        <f t="shared" si="2"/>
        <v>7</v>
      </c>
      <c r="U3" s="69">
        <f t="shared" si="2"/>
        <v>7</v>
      </c>
      <c r="V3" s="69">
        <f t="shared" si="2"/>
        <v>7</v>
      </c>
      <c r="W3" s="69">
        <f t="shared" si="2"/>
        <v>8</v>
      </c>
      <c r="X3" s="69">
        <f t="shared" si="2"/>
        <v>8</v>
      </c>
      <c r="Y3" s="69">
        <f t="shared" si="2"/>
        <v>8</v>
      </c>
      <c r="Z3" s="69"/>
      <c r="AA3" s="69"/>
    </row>
    <row r="4">
      <c r="A4" s="38" t="s">
        <v>296</v>
      </c>
      <c r="B4" s="69">
        <f t="shared" ref="B4:Y4" si="3">ROUNDUP(B$2/12,0)</f>
        <v>1</v>
      </c>
      <c r="C4" s="69">
        <f t="shared" si="3"/>
        <v>1</v>
      </c>
      <c r="D4" s="69">
        <f t="shared" si="3"/>
        <v>1</v>
      </c>
      <c r="E4" s="69">
        <f t="shared" si="3"/>
        <v>1</v>
      </c>
      <c r="F4" s="69">
        <f t="shared" si="3"/>
        <v>1</v>
      </c>
      <c r="G4" s="69">
        <f t="shared" si="3"/>
        <v>1</v>
      </c>
      <c r="H4" s="69">
        <f t="shared" si="3"/>
        <v>1</v>
      </c>
      <c r="I4" s="69">
        <f t="shared" si="3"/>
        <v>1</v>
      </c>
      <c r="J4" s="69">
        <f t="shared" si="3"/>
        <v>1</v>
      </c>
      <c r="K4" s="69">
        <f t="shared" si="3"/>
        <v>1</v>
      </c>
      <c r="L4" s="69">
        <f t="shared" si="3"/>
        <v>1</v>
      </c>
      <c r="M4" s="69">
        <f t="shared" si="3"/>
        <v>1</v>
      </c>
      <c r="N4" s="69">
        <f t="shared" si="3"/>
        <v>2</v>
      </c>
      <c r="O4" s="69">
        <f t="shared" si="3"/>
        <v>2</v>
      </c>
      <c r="P4" s="69">
        <f t="shared" si="3"/>
        <v>2</v>
      </c>
      <c r="Q4" s="69">
        <f t="shared" si="3"/>
        <v>2</v>
      </c>
      <c r="R4" s="69">
        <f t="shared" si="3"/>
        <v>2</v>
      </c>
      <c r="S4" s="69">
        <f t="shared" si="3"/>
        <v>2</v>
      </c>
      <c r="T4" s="69">
        <f t="shared" si="3"/>
        <v>2</v>
      </c>
      <c r="U4" s="69">
        <f t="shared" si="3"/>
        <v>2</v>
      </c>
      <c r="V4" s="69">
        <f t="shared" si="3"/>
        <v>2</v>
      </c>
      <c r="W4" s="69">
        <f t="shared" si="3"/>
        <v>2</v>
      </c>
      <c r="X4" s="69">
        <f t="shared" si="3"/>
        <v>2</v>
      </c>
      <c r="Y4" s="69">
        <f t="shared" si="3"/>
        <v>2</v>
      </c>
      <c r="Z4" s="69"/>
      <c r="AA4" s="69"/>
    </row>
    <row r="5">
      <c r="A5" s="4" t="s">
        <v>501</v>
      </c>
      <c r="B5" s="92" t="s">
        <v>26</v>
      </c>
      <c r="C5" s="93" t="s">
        <v>27</v>
      </c>
      <c r="D5" s="92" t="s">
        <v>28</v>
      </c>
      <c r="E5" s="93" t="s">
        <v>29</v>
      </c>
    </row>
    <row r="6">
      <c r="A6" s="6" t="s">
        <v>30</v>
      </c>
      <c r="B6" s="70">
        <f t="shared" ref="B6:B8" si="4">Z45</f>
        <v>8345583.993</v>
      </c>
      <c r="C6" s="94">
        <f t="shared" ref="C6:C8" si="5">Z73</f>
        <v>8345583.993</v>
      </c>
      <c r="D6" s="70">
        <f t="shared" ref="D6:D8" si="6">AA45</f>
        <v>9400622.225</v>
      </c>
      <c r="E6" s="94">
        <f t="shared" ref="E6:E8" si="7">AA73</f>
        <v>9400622.225</v>
      </c>
    </row>
    <row r="7">
      <c r="A7" s="6" t="s">
        <v>32</v>
      </c>
      <c r="B7" s="70">
        <f t="shared" si="4"/>
        <v>6308339.311</v>
      </c>
      <c r="C7" s="94">
        <f t="shared" si="5"/>
        <v>6308339.311</v>
      </c>
      <c r="D7" s="70">
        <f t="shared" si="6"/>
        <v>7884706.969</v>
      </c>
      <c r="E7" s="94">
        <f t="shared" si="7"/>
        <v>7884706.969</v>
      </c>
    </row>
    <row r="8">
      <c r="A8" s="6" t="s">
        <v>502</v>
      </c>
      <c r="B8" s="70">
        <f t="shared" si="4"/>
        <v>6586373.437</v>
      </c>
      <c r="C8" s="94">
        <f t="shared" si="5"/>
        <v>6586373.437</v>
      </c>
      <c r="D8" s="70">
        <f t="shared" si="6"/>
        <v>8340969.953</v>
      </c>
      <c r="E8" s="94">
        <f t="shared" si="7"/>
        <v>8340969.953</v>
      </c>
    </row>
    <row r="9">
      <c r="A9" s="12" t="s">
        <v>503</v>
      </c>
      <c r="B9" s="84">
        <f t="shared" ref="B9:E9" si="8">IF(B6=0,"",B8/B6)</f>
        <v>0.7892046191</v>
      </c>
      <c r="C9" s="96">
        <f t="shared" si="8"/>
        <v>0.7892046191</v>
      </c>
      <c r="D9" s="84">
        <f t="shared" si="8"/>
        <v>0.8872784965</v>
      </c>
      <c r="E9" s="96">
        <f t="shared" si="8"/>
        <v>0.8872784965</v>
      </c>
    </row>
    <row r="10">
      <c r="A10" s="12" t="s">
        <v>504</v>
      </c>
      <c r="B10" s="87">
        <f>IF(B7*Inputs!$B$53=0,"",B6/(B7*Inputs!$B$53)*12)</f>
        <v>21.16711504</v>
      </c>
      <c r="C10" s="97">
        <f>IF(C7*Inputs!$B$53=0,"",C6/(C7*Inputs!$B$53)*12)</f>
        <v>21.16711504</v>
      </c>
      <c r="D10" s="87">
        <f>IF(D7*Inputs!$B$53=0,"",D6/(D7*Inputs!$B$53)*12)</f>
        <v>19.07616303</v>
      </c>
      <c r="E10" s="97">
        <f>IF(E7*Inputs!$B$53=0,"",E6/(E7*Inputs!$B$53)*12)</f>
        <v>19.07616303</v>
      </c>
    </row>
    <row r="11">
      <c r="A11" s="3"/>
    </row>
    <row r="12">
      <c r="A12" s="4" t="s">
        <v>505</v>
      </c>
      <c r="B12" s="46"/>
      <c r="C12" s="46"/>
      <c r="D12" s="46"/>
      <c r="E12" s="46"/>
      <c r="F12" s="46"/>
      <c r="G12" s="46"/>
      <c r="H12" s="46"/>
      <c r="I12" s="46"/>
      <c r="J12" s="46"/>
      <c r="K12" s="46"/>
      <c r="L12" s="46"/>
      <c r="M12" s="46"/>
      <c r="N12" s="46"/>
      <c r="O12" s="46"/>
      <c r="P12" s="46"/>
      <c r="Q12" s="46"/>
      <c r="R12" s="46"/>
      <c r="S12" s="46"/>
      <c r="T12" s="46"/>
      <c r="U12" s="46"/>
      <c r="V12" s="46"/>
      <c r="W12" s="46"/>
      <c r="X12" s="46"/>
      <c r="Y12" s="46"/>
      <c r="Z12" s="46"/>
      <c r="AA12" s="46"/>
    </row>
    <row r="13">
      <c r="A13" s="12" t="s">
        <v>295</v>
      </c>
      <c r="B13" s="82">
        <v>1.0</v>
      </c>
      <c r="C13" s="83">
        <f t="shared" ref="C13:I13" si="9">B13+1</f>
        <v>2</v>
      </c>
      <c r="D13" s="83">
        <f t="shared" si="9"/>
        <v>3</v>
      </c>
      <c r="E13" s="83">
        <f t="shared" si="9"/>
        <v>4</v>
      </c>
      <c r="F13" s="83">
        <f t="shared" si="9"/>
        <v>5</v>
      </c>
      <c r="G13" s="83">
        <f t="shared" si="9"/>
        <v>6</v>
      </c>
      <c r="H13" s="83">
        <f t="shared" si="9"/>
        <v>7</v>
      </c>
      <c r="I13" s="83">
        <f t="shared" si="9"/>
        <v>8</v>
      </c>
    </row>
    <row r="14">
      <c r="A14" s="6" t="s">
        <v>187</v>
      </c>
      <c r="B14" s="70">
        <f t="shared" ref="B14:I14" si="10">SUMIFS($B$45:$Y$45,$B$3:$Y$3,B$13)</f>
        <v>1891111.038</v>
      </c>
      <c r="C14" s="70">
        <f t="shared" si="10"/>
        <v>2168488.492</v>
      </c>
      <c r="D14" s="70">
        <f t="shared" si="10"/>
        <v>2169744.718</v>
      </c>
      <c r="E14" s="70">
        <f t="shared" si="10"/>
        <v>2116239.745</v>
      </c>
      <c r="F14" s="70">
        <f t="shared" si="10"/>
        <v>2342544.086</v>
      </c>
      <c r="G14" s="70">
        <f t="shared" si="10"/>
        <v>2432715.587</v>
      </c>
      <c r="H14" s="70">
        <f t="shared" si="10"/>
        <v>2364457.802</v>
      </c>
      <c r="I14" s="70">
        <f t="shared" si="10"/>
        <v>2260904.75</v>
      </c>
    </row>
    <row r="15">
      <c r="A15" s="6" t="s">
        <v>126</v>
      </c>
      <c r="B15" s="70">
        <f t="shared" ref="B15:I15" si="11">SUMIFS($B$47:$Y$47,$B$3:$Y$3,B$13)</f>
        <v>1309627.784</v>
      </c>
      <c r="C15" s="70">
        <f t="shared" si="11"/>
        <v>1591465.049</v>
      </c>
      <c r="D15" s="70">
        <f t="shared" si="11"/>
        <v>1759599.023</v>
      </c>
      <c r="E15" s="70">
        <f t="shared" si="11"/>
        <v>1925681.581</v>
      </c>
      <c r="F15" s="70">
        <f t="shared" si="11"/>
        <v>1893672.13</v>
      </c>
      <c r="G15" s="70">
        <f t="shared" si="11"/>
        <v>2086111.173</v>
      </c>
      <c r="H15" s="70">
        <f t="shared" si="11"/>
        <v>2235203.974</v>
      </c>
      <c r="I15" s="70">
        <f t="shared" si="11"/>
        <v>2125982.676</v>
      </c>
    </row>
    <row r="16">
      <c r="A16" s="12" t="s">
        <v>193</v>
      </c>
      <c r="B16" s="84">
        <f>IF(B14=0,"",B15/B14)</f>
        <v>0.6925176559</v>
      </c>
      <c r="C16" s="84">
        <f t="shared" ref="C16:I16" si="12">IF(B14=0,"",C15/B14)</f>
        <v>0.8415502935</v>
      </c>
      <c r="D16" s="84">
        <f t="shared" si="12"/>
        <v>0.8114403325</v>
      </c>
      <c r="E16" s="84">
        <f t="shared" si="12"/>
        <v>0.8875152755</v>
      </c>
      <c r="F16" s="84">
        <f t="shared" si="12"/>
        <v>0.8948287332</v>
      </c>
      <c r="G16" s="84">
        <f t="shared" si="12"/>
        <v>0.8905323001</v>
      </c>
      <c r="H16" s="84">
        <f t="shared" si="12"/>
        <v>0.9188102326</v>
      </c>
      <c r="I16" s="84">
        <f t="shared" si="12"/>
        <v>0.8991417288</v>
      </c>
    </row>
    <row r="17">
      <c r="A17" s="98" t="s">
        <v>190</v>
      </c>
      <c r="B17" s="94">
        <f t="shared" ref="B17:I17" si="13">SUMIFS($B$73:$Y$73,$B$3:$Y$3,B$13)</f>
        <v>1891111.038</v>
      </c>
      <c r="C17" s="94">
        <f t="shared" si="13"/>
        <v>2168488.492</v>
      </c>
      <c r="D17" s="94">
        <f t="shared" si="13"/>
        <v>2169744.718</v>
      </c>
      <c r="E17" s="94">
        <f t="shared" si="13"/>
        <v>2116239.745</v>
      </c>
      <c r="F17" s="94">
        <f t="shared" si="13"/>
        <v>2342544.086</v>
      </c>
      <c r="G17" s="94">
        <f t="shared" si="13"/>
        <v>2432715.587</v>
      </c>
      <c r="H17" s="94">
        <f t="shared" si="13"/>
        <v>2364457.802</v>
      </c>
      <c r="I17" s="94">
        <f t="shared" si="13"/>
        <v>2260904.75</v>
      </c>
    </row>
    <row r="18">
      <c r="A18" s="98" t="s">
        <v>130</v>
      </c>
      <c r="B18" s="94">
        <f t="shared" ref="B18:I18" si="14">SUMIFS($B$75:$Y$75,$B$3:$Y$3,B$13)</f>
        <v>1309627.784</v>
      </c>
      <c r="C18" s="94">
        <f t="shared" si="14"/>
        <v>1591465.049</v>
      </c>
      <c r="D18" s="94">
        <f t="shared" si="14"/>
        <v>1759599.023</v>
      </c>
      <c r="E18" s="94">
        <f t="shared" si="14"/>
        <v>1925681.581</v>
      </c>
      <c r="F18" s="94">
        <f t="shared" si="14"/>
        <v>1893672.13</v>
      </c>
      <c r="G18" s="94">
        <f t="shared" si="14"/>
        <v>2086111.173</v>
      </c>
      <c r="H18" s="94">
        <f t="shared" si="14"/>
        <v>2235203.974</v>
      </c>
      <c r="I18" s="94">
        <f t="shared" si="14"/>
        <v>2125982.676</v>
      </c>
    </row>
    <row r="19">
      <c r="A19" s="79" t="s">
        <v>196</v>
      </c>
      <c r="B19" s="96">
        <f>IF(B17=0,"",B18/B17)</f>
        <v>0.6925176559</v>
      </c>
      <c r="C19" s="96">
        <f t="shared" ref="C19:I19" si="15">IF(B17=0,"",C18/B17)</f>
        <v>0.8415502935</v>
      </c>
      <c r="D19" s="96">
        <f t="shared" si="15"/>
        <v>0.8114403325</v>
      </c>
      <c r="E19" s="96">
        <f t="shared" si="15"/>
        <v>0.8875152755</v>
      </c>
      <c r="F19" s="96">
        <f t="shared" si="15"/>
        <v>0.8948287332</v>
      </c>
      <c r="G19" s="96">
        <f t="shared" si="15"/>
        <v>0.8905323001</v>
      </c>
      <c r="H19" s="96">
        <f t="shared" si="15"/>
        <v>0.9188102326</v>
      </c>
      <c r="I19" s="96">
        <f t="shared" si="15"/>
        <v>0.8991417288</v>
      </c>
    </row>
    <row r="20">
      <c r="A20" s="3"/>
    </row>
    <row r="21">
      <c r="A21" s="4" t="s">
        <v>506</v>
      </c>
      <c r="B21" s="46"/>
      <c r="C21" s="46"/>
      <c r="D21" s="46"/>
      <c r="E21" s="46"/>
      <c r="F21" s="46"/>
      <c r="G21" s="46"/>
      <c r="H21" s="46"/>
      <c r="I21" s="46"/>
      <c r="J21" s="46"/>
      <c r="K21" s="46"/>
      <c r="L21" s="46"/>
      <c r="M21" s="46"/>
      <c r="N21" s="46"/>
      <c r="O21" s="46"/>
      <c r="P21" s="46"/>
      <c r="Q21" s="46"/>
      <c r="R21" s="46"/>
      <c r="S21" s="46"/>
      <c r="T21" s="46"/>
      <c r="U21" s="46"/>
      <c r="V21" s="46"/>
      <c r="W21" s="46"/>
      <c r="X21" s="46"/>
      <c r="Y21" s="46"/>
      <c r="Z21" s="46"/>
      <c r="AA21" s="46"/>
    </row>
    <row r="22" outlineLevel="1">
      <c r="A22" s="6" t="s">
        <v>507</v>
      </c>
      <c r="B22" s="75">
        <f>Capacity!B8+Capacity!B7</f>
        <v>6</v>
      </c>
      <c r="C22" s="75">
        <f>Capacity!C8+Capacity!C7</f>
        <v>5.941428939</v>
      </c>
      <c r="D22" s="75">
        <f>Capacity!D8+Capacity!D7</f>
        <v>5.767431042</v>
      </c>
      <c r="E22" s="75">
        <f>Capacity!E8+Capacity!E7</f>
        <v>7.598528765</v>
      </c>
      <c r="F22" s="75">
        <f>Capacity!F8+Capacity!F7</f>
        <v>7.43457288</v>
      </c>
      <c r="G22" s="75">
        <f>Capacity!G8+Capacity!G7</f>
        <v>7.21684747</v>
      </c>
      <c r="H22" s="75">
        <f>Capacity!H8+Capacity!H7</f>
        <v>7.005498265</v>
      </c>
      <c r="I22" s="75">
        <f>Capacity!I8+Capacity!I7</f>
        <v>6.800338532</v>
      </c>
      <c r="J22" s="75">
        <f>Capacity!J8+Capacity!J7</f>
        <v>6.601187012</v>
      </c>
      <c r="K22" s="75">
        <f>Capacity!K8+Capacity!K7</f>
        <v>6.407867749</v>
      </c>
      <c r="L22" s="75">
        <f>Capacity!L8+Capacity!L7</f>
        <v>6.220209943</v>
      </c>
      <c r="M22" s="75">
        <f>Capacity!M8+Capacity!M7</f>
        <v>6.038047796</v>
      </c>
      <c r="N22" s="75">
        <f>Capacity!N8+Capacity!N7</f>
        <v>7.861220364</v>
      </c>
      <c r="O22" s="75">
        <f>Capacity!O8+Capacity!O7</f>
        <v>7.689571417</v>
      </c>
      <c r="P22" s="75">
        <f>Capacity!P8+Capacity!P7</f>
        <v>7.46437824</v>
      </c>
      <c r="Q22" s="75">
        <f>Capacity!Q8+Capacity!Q7</f>
        <v>7.245779964</v>
      </c>
      <c r="R22" s="75">
        <f>Capacity!R8+Capacity!R7</f>
        <v>7.033583455</v>
      </c>
      <c r="S22" s="75">
        <f>Capacity!S8+Capacity!S7</f>
        <v>6.827601233</v>
      </c>
      <c r="T22" s="75">
        <f>Capacity!T8+Capacity!T7</f>
        <v>6.62765131</v>
      </c>
      <c r="U22" s="75">
        <f>Capacity!U8+Capacity!U7</f>
        <v>6.433557026</v>
      </c>
      <c r="V22" s="75">
        <f>Capacity!V8+Capacity!V7</f>
        <v>6.245146896</v>
      </c>
      <c r="W22" s="75">
        <f>Capacity!W8+Capacity!W7</f>
        <v>6.062254457</v>
      </c>
      <c r="X22" s="75">
        <f>Capacity!X8+Capacity!X7</f>
        <v>5.88471812</v>
      </c>
      <c r="Y22" s="75">
        <f>Capacity!Y8+Capacity!Y7</f>
        <v>5.712381029</v>
      </c>
      <c r="Z22" s="75"/>
      <c r="AA22" s="75"/>
    </row>
    <row r="23" outlineLevel="1">
      <c r="A23" s="6" t="s">
        <v>508</v>
      </c>
      <c r="B23" s="75">
        <f>Capacity!B33+Capacity!B32</f>
        <v>4</v>
      </c>
      <c r="C23" s="75">
        <f>Capacity!C33+Capacity!C32</f>
        <v>3.926306119</v>
      </c>
      <c r="D23" s="75">
        <f>Capacity!D33+Capacity!D32</f>
        <v>3.853969936</v>
      </c>
      <c r="E23" s="75">
        <f>Capacity!E33+Capacity!E32</f>
        <v>3.782966436</v>
      </c>
      <c r="F23" s="75">
        <f>Capacity!F33+Capacity!F32</f>
        <v>3.713271067</v>
      </c>
      <c r="G23" s="75">
        <f>Capacity!G33+Capacity!G32</f>
        <v>3.644859728</v>
      </c>
      <c r="H23" s="75">
        <f>Capacity!H33+Capacity!H32</f>
        <v>3.577708764</v>
      </c>
      <c r="I23" s="75">
        <f>Capacity!I33+Capacity!I32</f>
        <v>3.511794953</v>
      </c>
      <c r="J23" s="75">
        <f>Capacity!J33+Capacity!J32</f>
        <v>3.447095504</v>
      </c>
      <c r="K23" s="75">
        <f>Capacity!K33+Capacity!K32</f>
        <v>3.383588043</v>
      </c>
      <c r="L23" s="75">
        <f>Capacity!L33+Capacity!L32</f>
        <v>3.32125061</v>
      </c>
      <c r="M23" s="75">
        <f>Capacity!M33+Capacity!M32</f>
        <v>3.260061648</v>
      </c>
      <c r="N23" s="75">
        <f>Capacity!N33+Capacity!N32</f>
        <v>6.2</v>
      </c>
      <c r="O23" s="75">
        <f>Capacity!O33+Capacity!O32</f>
        <v>6.141044896</v>
      </c>
      <c r="P23" s="75">
        <f>Capacity!P33+Capacity!P32</f>
        <v>6.027905538</v>
      </c>
      <c r="Q23" s="75">
        <f>Capacity!Q33+Capacity!Q32</f>
        <v>5.916850601</v>
      </c>
      <c r="R23" s="75">
        <f>Capacity!R33+Capacity!R32</f>
        <v>5.807841681</v>
      </c>
      <c r="S23" s="75">
        <f>Capacity!S33+Capacity!S32</f>
        <v>5.700841083</v>
      </c>
      <c r="T23" s="75">
        <f>Capacity!T33+Capacity!T32</f>
        <v>5.595811807</v>
      </c>
      <c r="U23" s="75">
        <f>Capacity!U33+Capacity!U32</f>
        <v>5.492717536</v>
      </c>
      <c r="V23" s="75">
        <f>Capacity!V33+Capacity!V32</f>
        <v>5.391522618</v>
      </c>
      <c r="W23" s="75">
        <f>Capacity!W33+Capacity!W32</f>
        <v>5.292192062</v>
      </c>
      <c r="X23" s="75">
        <f>Capacity!X33+Capacity!X32</f>
        <v>5.19469152</v>
      </c>
      <c r="Y23" s="75">
        <f>Capacity!Y33+Capacity!Y32</f>
        <v>5.098987276</v>
      </c>
      <c r="Z23" s="75"/>
      <c r="AA23" s="75"/>
    </row>
    <row r="24" outlineLevel="1">
      <c r="A24" s="6" t="s">
        <v>509</v>
      </c>
      <c r="B24" s="75">
        <f>Capacity!B58+Capacity!B57</f>
        <v>4</v>
      </c>
      <c r="C24" s="75">
        <f>Capacity!C58+Capacity!C57</f>
        <v>3.973096106</v>
      </c>
      <c r="D24" s="75">
        <f>Capacity!D58+Capacity!D57</f>
        <v>3.919650228</v>
      </c>
      <c r="E24" s="75">
        <f>Capacity!E58+Capacity!E57</f>
        <v>3.866923301</v>
      </c>
      <c r="F24" s="75">
        <f>Capacity!F58+Capacity!F57</f>
        <v>3.814905653</v>
      </c>
      <c r="G24" s="75">
        <f>Capacity!G58+Capacity!G57</f>
        <v>3.763587744</v>
      </c>
      <c r="H24" s="75">
        <f>Capacity!H58+Capacity!H57</f>
        <v>3.712960162</v>
      </c>
      <c r="I24" s="75">
        <f>Capacity!I58+Capacity!I57</f>
        <v>3.663013618</v>
      </c>
      <c r="J24" s="75">
        <f>Capacity!J58+Capacity!J57</f>
        <v>3.613738953</v>
      </c>
      <c r="K24" s="75">
        <f>Capacity!K58+Capacity!K57</f>
        <v>3.565127128</v>
      </c>
      <c r="L24" s="75">
        <f>Capacity!L58+Capacity!L57</f>
        <v>3.517169227</v>
      </c>
      <c r="M24" s="75">
        <f>Capacity!M58+Capacity!M57</f>
        <v>3.469856453</v>
      </c>
      <c r="N24" s="75">
        <f>Capacity!N58+Capacity!N57</f>
        <v>3.423180128</v>
      </c>
      <c r="O24" s="75">
        <f>Capacity!O58+Capacity!O57</f>
        <v>3.37713169</v>
      </c>
      <c r="P24" s="75">
        <f>Capacity!P58+Capacity!P57</f>
        <v>3.331702694</v>
      </c>
      <c r="Q24" s="75">
        <f>Capacity!Q58+Capacity!Q57</f>
        <v>3.286884805</v>
      </c>
      <c r="R24" s="75">
        <f>Capacity!R58+Capacity!R57</f>
        <v>3.242669805</v>
      </c>
      <c r="S24" s="75">
        <f>Capacity!S58+Capacity!S57</f>
        <v>3.199049583</v>
      </c>
      <c r="T24" s="75">
        <f>Capacity!T58+Capacity!T57</f>
        <v>3.156016137</v>
      </c>
      <c r="U24" s="75">
        <f>Capacity!U58+Capacity!U57</f>
        <v>3.113561575</v>
      </c>
      <c r="V24" s="75">
        <f>Capacity!V58+Capacity!V57</f>
        <v>3.07167811</v>
      </c>
      <c r="W24" s="75">
        <f>Capacity!W58+Capacity!W57</f>
        <v>3.030358059</v>
      </c>
      <c r="X24" s="75">
        <f>Capacity!X58+Capacity!X57</f>
        <v>2.989593843</v>
      </c>
      <c r="Y24" s="75">
        <f>Capacity!Y58+Capacity!Y57</f>
        <v>2.949377985</v>
      </c>
      <c r="Z24" s="75"/>
      <c r="AA24" s="75"/>
    </row>
    <row r="25" outlineLevel="1">
      <c r="A25" s="6" t="s">
        <v>510</v>
      </c>
      <c r="B25" s="70">
        <f>B22*'Rep capacity'!$B$24</f>
        <v>35937.5</v>
      </c>
      <c r="C25" s="70">
        <f>C22*'Rep capacity'!$B$24</f>
        <v>35586.68375</v>
      </c>
      <c r="D25" s="70">
        <f>D22*'Rep capacity'!$B$24</f>
        <v>34544.50884</v>
      </c>
      <c r="E25" s="70">
        <f>E22*'Rep capacity'!$B$24</f>
        <v>45512.02125</v>
      </c>
      <c r="F25" s="70">
        <f>F22*'Rep capacity'!$B$24</f>
        <v>44529.99381</v>
      </c>
      <c r="G25" s="70">
        <f>G22*'Rep capacity'!$B$24</f>
        <v>43225.90933</v>
      </c>
      <c r="H25" s="70">
        <f>H22*'Rep capacity'!$B$24</f>
        <v>41960.01565</v>
      </c>
      <c r="I25" s="70">
        <f>I22*'Rep capacity'!$B$24</f>
        <v>40731.19433</v>
      </c>
      <c r="J25" s="70">
        <f>J22*'Rep capacity'!$B$24</f>
        <v>39538.35971</v>
      </c>
      <c r="K25" s="70">
        <f>K22*'Rep capacity'!$B$24</f>
        <v>38380.45787</v>
      </c>
      <c r="L25" s="70">
        <f>L22*'Rep capacity'!$B$24</f>
        <v>37256.46581</v>
      </c>
      <c r="M25" s="70">
        <f>M22*'Rep capacity'!$B$24</f>
        <v>36165.39045</v>
      </c>
      <c r="N25" s="70">
        <f>N22*'Rep capacity'!$B$24</f>
        <v>47085.43447</v>
      </c>
      <c r="O25" s="70">
        <f>O22*'Rep capacity'!$B$24</f>
        <v>46057.3288</v>
      </c>
      <c r="P25" s="70">
        <f>P22*'Rep capacity'!$B$24</f>
        <v>44708.5155</v>
      </c>
      <c r="Q25" s="70">
        <f>Q22*'Rep capacity'!$B$24</f>
        <v>43399.20291</v>
      </c>
      <c r="R25" s="70">
        <f>R22*'Rep capacity'!$B$24</f>
        <v>42128.23423</v>
      </c>
      <c r="S25" s="70">
        <f>S22*'Rep capacity'!$B$24</f>
        <v>40894.48655</v>
      </c>
      <c r="T25" s="70">
        <f>T22*'Rep capacity'!$B$24</f>
        <v>39696.86982</v>
      </c>
      <c r="U25" s="70">
        <f>U22*'Rep capacity'!$B$24</f>
        <v>38534.32594</v>
      </c>
      <c r="V25" s="70">
        <f>V22*'Rep capacity'!$B$24</f>
        <v>37405.82776</v>
      </c>
      <c r="W25" s="70">
        <f>W22*'Rep capacity'!$B$24</f>
        <v>36310.37826</v>
      </c>
      <c r="X25" s="70">
        <f>X22*'Rep capacity'!$B$24</f>
        <v>35247.00957</v>
      </c>
      <c r="Y25" s="70">
        <f>Y22*'Rep capacity'!$B$24</f>
        <v>34214.7822</v>
      </c>
      <c r="Z25" s="70">
        <f t="shared" ref="Z25:Z47" si="16">SUM(B25:M25)</f>
        <v>473368.5008</v>
      </c>
      <c r="AA25" s="70">
        <f t="shared" ref="AA25:AA47" si="17">SUM(N25:Y25)</f>
        <v>485682.396</v>
      </c>
    </row>
    <row r="26" outlineLevel="1">
      <c r="A26" s="6" t="s">
        <v>511</v>
      </c>
      <c r="B26" s="70">
        <f>B23*'Rep capacity'!$C$24</f>
        <v>33333.33333</v>
      </c>
      <c r="C26" s="70">
        <f>C23*'Rep capacity'!$C$24</f>
        <v>32719.21766</v>
      </c>
      <c r="D26" s="70">
        <f>D23*'Rep capacity'!$C$24</f>
        <v>32116.41613</v>
      </c>
      <c r="E26" s="70">
        <f>E23*'Rep capacity'!$C$24</f>
        <v>31524.7203</v>
      </c>
      <c r="F26" s="70">
        <f>F23*'Rep capacity'!$C$24</f>
        <v>30943.92556</v>
      </c>
      <c r="G26" s="70">
        <f>G23*'Rep capacity'!$C$24</f>
        <v>30373.83107</v>
      </c>
      <c r="H26" s="70">
        <f>H23*'Rep capacity'!$C$24</f>
        <v>29814.2397</v>
      </c>
      <c r="I26" s="70">
        <f>I23*'Rep capacity'!$C$24</f>
        <v>29264.95795</v>
      </c>
      <c r="J26" s="70">
        <f>J23*'Rep capacity'!$C$24</f>
        <v>28725.79587</v>
      </c>
      <c r="K26" s="70">
        <f>K23*'Rep capacity'!$C$24</f>
        <v>28196.56703</v>
      </c>
      <c r="L26" s="70">
        <f>L23*'Rep capacity'!$C$24</f>
        <v>27677.08841</v>
      </c>
      <c r="M26" s="70">
        <f>M23*'Rep capacity'!$C$24</f>
        <v>27167.1804</v>
      </c>
      <c r="N26" s="70">
        <f>N23*'Rep capacity'!$C$24</f>
        <v>51666.66667</v>
      </c>
      <c r="O26" s="70">
        <f>O23*'Rep capacity'!$C$24</f>
        <v>51175.37413</v>
      </c>
      <c r="P26" s="70">
        <f>P23*'Rep capacity'!$C$24</f>
        <v>50232.54615</v>
      </c>
      <c r="Q26" s="70">
        <f>Q23*'Rep capacity'!$C$24</f>
        <v>49307.08834</v>
      </c>
      <c r="R26" s="70">
        <f>R23*'Rep capacity'!$C$24</f>
        <v>48398.68067</v>
      </c>
      <c r="S26" s="70">
        <f>S23*'Rep capacity'!$C$24</f>
        <v>47507.00902</v>
      </c>
      <c r="T26" s="70">
        <f>T23*'Rep capacity'!$C$24</f>
        <v>46631.76506</v>
      </c>
      <c r="U26" s="70">
        <f>U23*'Rep capacity'!$C$24</f>
        <v>45772.64613</v>
      </c>
      <c r="V26" s="70">
        <f>V23*'Rep capacity'!$C$24</f>
        <v>44929.35515</v>
      </c>
      <c r="W26" s="70">
        <f>W23*'Rep capacity'!$C$24</f>
        <v>44101.60052</v>
      </c>
      <c r="X26" s="70">
        <f>X23*'Rep capacity'!$C$24</f>
        <v>43289.096</v>
      </c>
      <c r="Y26" s="70">
        <f>Y23*'Rep capacity'!$C$24</f>
        <v>42491.56063</v>
      </c>
      <c r="Z26" s="70">
        <f t="shared" si="16"/>
        <v>361857.2734</v>
      </c>
      <c r="AA26" s="70">
        <f t="shared" si="17"/>
        <v>565503.3885</v>
      </c>
    </row>
    <row r="27" outlineLevel="1">
      <c r="A27" s="6" t="s">
        <v>512</v>
      </c>
      <c r="B27" s="70">
        <f>B24*'Rep capacity'!$D$24</f>
        <v>58333.33333</v>
      </c>
      <c r="C27" s="70">
        <f>C24*'Rep capacity'!$D$24</f>
        <v>57940.98488</v>
      </c>
      <c r="D27" s="70">
        <f>D24*'Rep capacity'!$D$24</f>
        <v>57161.56582</v>
      </c>
      <c r="E27" s="70">
        <f>E24*'Rep capacity'!$D$24</f>
        <v>56392.63147</v>
      </c>
      <c r="F27" s="70">
        <f>F24*'Rep capacity'!$D$24</f>
        <v>55634.04078</v>
      </c>
      <c r="G27" s="70">
        <f>G24*'Rep capacity'!$D$24</f>
        <v>54885.65461</v>
      </c>
      <c r="H27" s="70">
        <f>H24*'Rep capacity'!$D$24</f>
        <v>54147.33569</v>
      </c>
      <c r="I27" s="70">
        <f>I24*'Rep capacity'!$D$24</f>
        <v>53418.9486</v>
      </c>
      <c r="J27" s="70">
        <f>J24*'Rep capacity'!$D$24</f>
        <v>52700.35973</v>
      </c>
      <c r="K27" s="70">
        <f>K24*'Rep capacity'!$D$24</f>
        <v>51991.43729</v>
      </c>
      <c r="L27" s="70">
        <f>L24*'Rep capacity'!$D$24</f>
        <v>51292.05123</v>
      </c>
      <c r="M27" s="70">
        <f>M24*'Rep capacity'!$D$24</f>
        <v>50602.07327</v>
      </c>
      <c r="N27" s="70">
        <f>N24*'Rep capacity'!$D$24</f>
        <v>49921.37686</v>
      </c>
      <c r="O27" s="70">
        <f>O24*'Rep capacity'!$D$24</f>
        <v>49249.83715</v>
      </c>
      <c r="P27" s="70">
        <f>P24*'Rep capacity'!$D$24</f>
        <v>48587.33095</v>
      </c>
      <c r="Q27" s="70">
        <f>Q24*'Rep capacity'!$D$24</f>
        <v>47933.73675</v>
      </c>
      <c r="R27" s="70">
        <f>R24*'Rep capacity'!$D$24</f>
        <v>47288.93466</v>
      </c>
      <c r="S27" s="70">
        <f>S24*'Rep capacity'!$D$24</f>
        <v>46652.80642</v>
      </c>
      <c r="T27" s="70">
        <f>T24*'Rep capacity'!$D$24</f>
        <v>46025.23534</v>
      </c>
      <c r="U27" s="70">
        <f>U24*'Rep capacity'!$D$24</f>
        <v>45406.10631</v>
      </c>
      <c r="V27" s="70">
        <f>V24*'Rep capacity'!$D$24</f>
        <v>44795.30577</v>
      </c>
      <c r="W27" s="70">
        <f>W24*'Rep capacity'!$D$24</f>
        <v>44192.72169</v>
      </c>
      <c r="X27" s="70">
        <f>X24*'Rep capacity'!$D$24</f>
        <v>43598.24354</v>
      </c>
      <c r="Y27" s="70">
        <f>Y24*'Rep capacity'!$D$24</f>
        <v>43011.76228</v>
      </c>
      <c r="Z27" s="70">
        <f t="shared" si="16"/>
        <v>654500.4167</v>
      </c>
      <c r="AA27" s="70">
        <f t="shared" si="17"/>
        <v>556663.3977</v>
      </c>
    </row>
    <row r="28" outlineLevel="1">
      <c r="A28" s="6" t="s">
        <v>513</v>
      </c>
      <c r="B28" s="70">
        <f>Capacity!B15</f>
        <v>67095.78414</v>
      </c>
      <c r="C28" s="70">
        <f>Capacity!C15</f>
        <v>65130.84852</v>
      </c>
      <c r="D28" s="70">
        <f>Capacity!D15</f>
        <v>128354.3056</v>
      </c>
      <c r="E28" s="70">
        <f>Capacity!E15</f>
        <v>187818.8387</v>
      </c>
      <c r="F28" s="70">
        <f>Capacity!F15</f>
        <v>182318.4644</v>
      </c>
      <c r="G28" s="70">
        <f>Capacity!G15</f>
        <v>209544.5958</v>
      </c>
      <c r="H28" s="70">
        <f>Capacity!H15</f>
        <v>235019.6997</v>
      </c>
      <c r="I28" s="70">
        <f>Capacity!I15</f>
        <v>228137.0231</v>
      </c>
      <c r="J28" s="70">
        <f>Capacity!J15</f>
        <v>221455.9094</v>
      </c>
      <c r="K28" s="70">
        <f>Capacity!K15</f>
        <v>214970.4556</v>
      </c>
      <c r="L28" s="70">
        <f>Capacity!L15</f>
        <v>208674.9318</v>
      </c>
      <c r="M28" s="70">
        <f>Capacity!M15</f>
        <v>202563.7758</v>
      </c>
      <c r="N28" s="70">
        <f>Capacity!N15</f>
        <v>196631.5882</v>
      </c>
      <c r="O28" s="70">
        <f>Capacity!O15</f>
        <v>190873.1278</v>
      </c>
      <c r="P28" s="70">
        <f>Capacity!P15</f>
        <v>217848.7313</v>
      </c>
      <c r="Q28" s="70">
        <f>Capacity!Q15</f>
        <v>243080.6442</v>
      </c>
      <c r="R28" s="70">
        <f>Capacity!R15</f>
        <v>235961.8986</v>
      </c>
      <c r="S28" s="70">
        <f>Capacity!S15</f>
        <v>229051.6293</v>
      </c>
      <c r="T28" s="70">
        <f>Capacity!T15</f>
        <v>222343.7308</v>
      </c>
      <c r="U28" s="70">
        <f>Capacity!U15</f>
        <v>215832.2767</v>
      </c>
      <c r="V28" s="70">
        <f>Capacity!V15</f>
        <v>209511.514</v>
      </c>
      <c r="W28" s="70">
        <f>Capacity!W15</f>
        <v>203375.8582</v>
      </c>
      <c r="X28" s="70">
        <f>Capacity!X15</f>
        <v>197419.8883</v>
      </c>
      <c r="Y28" s="70">
        <f>Capacity!Y15</f>
        <v>191638.3422</v>
      </c>
      <c r="Z28" s="70">
        <f t="shared" si="16"/>
        <v>2151084.633</v>
      </c>
      <c r="AA28" s="70">
        <f t="shared" si="17"/>
        <v>2553569.23</v>
      </c>
    </row>
    <row r="29" outlineLevel="1">
      <c r="A29" s="6" t="s">
        <v>514</v>
      </c>
      <c r="B29" s="70">
        <f>Capacity!B40</f>
        <v>188462.6937</v>
      </c>
      <c r="C29" s="70">
        <f>Capacity!C40</f>
        <v>184990.5569</v>
      </c>
      <c r="D29" s="70">
        <f>Capacity!D40</f>
        <v>181582.3889</v>
      </c>
      <c r="E29" s="70">
        <f>Capacity!E40</f>
        <v>178237.0112</v>
      </c>
      <c r="F29" s="70">
        <f>Capacity!F40</f>
        <v>174953.267</v>
      </c>
      <c r="G29" s="70">
        <f>Capacity!G40</f>
        <v>171730.0207</v>
      </c>
      <c r="H29" s="70">
        <f>Capacity!H40</f>
        <v>168566.1578</v>
      </c>
      <c r="I29" s="70">
        <f>Capacity!I40</f>
        <v>165460.5842</v>
      </c>
      <c r="J29" s="70">
        <f>Capacity!J40</f>
        <v>162412.2261</v>
      </c>
      <c r="K29" s="70">
        <f>Capacity!K40</f>
        <v>159420.0293</v>
      </c>
      <c r="L29" s="70">
        <f>Capacity!L40</f>
        <v>156482.9591</v>
      </c>
      <c r="M29" s="70">
        <f>Capacity!M40</f>
        <v>153600</v>
      </c>
      <c r="N29" s="70">
        <f>Capacity!N40</f>
        <v>150770.155</v>
      </c>
      <c r="O29" s="70">
        <f>Capacity!O40</f>
        <v>147992.4455</v>
      </c>
      <c r="P29" s="70">
        <f>Capacity!P40</f>
        <v>145265.9111</v>
      </c>
      <c r="Q29" s="70">
        <f>Capacity!Q40</f>
        <v>142589.609</v>
      </c>
      <c r="R29" s="70">
        <f>Capacity!R40</f>
        <v>184521.8664</v>
      </c>
      <c r="S29" s="70">
        <f>Capacity!S40</f>
        <v>224860.65</v>
      </c>
      <c r="T29" s="70">
        <f>Capacity!T40</f>
        <v>263650.4417</v>
      </c>
      <c r="U29" s="70">
        <f>Capacity!U40</f>
        <v>258793.0857</v>
      </c>
      <c r="V29" s="70">
        <f>Capacity!V40</f>
        <v>254025.219</v>
      </c>
      <c r="W29" s="70">
        <f>Capacity!W40</f>
        <v>249345.193</v>
      </c>
      <c r="X29" s="70">
        <f>Capacity!X40</f>
        <v>244751.3893</v>
      </c>
      <c r="Y29" s="70">
        <f>Capacity!Y40</f>
        <v>240242.2193</v>
      </c>
      <c r="Z29" s="70">
        <f t="shared" si="16"/>
        <v>2045897.895</v>
      </c>
      <c r="AA29" s="70">
        <f t="shared" si="17"/>
        <v>2506808.185</v>
      </c>
    </row>
    <row r="30" outlineLevel="1">
      <c r="A30" s="6" t="s">
        <v>515</v>
      </c>
      <c r="B30" s="70">
        <f>Capacity!B65</f>
        <v>147982.2079</v>
      </c>
      <c r="C30" s="70">
        <f>Capacity!C65</f>
        <v>145991.5591</v>
      </c>
      <c r="D30" s="70">
        <f>Capacity!D65</f>
        <v>144027.6884</v>
      </c>
      <c r="E30" s="70">
        <f>Capacity!E65</f>
        <v>142090.2356</v>
      </c>
      <c r="F30" s="70">
        <f>Capacity!F65</f>
        <v>140178.8453</v>
      </c>
      <c r="G30" s="70">
        <f>Capacity!G65</f>
        <v>138293.1669</v>
      </c>
      <c r="H30" s="70">
        <f>Capacity!H65</f>
        <v>136432.8545</v>
      </c>
      <c r="I30" s="70">
        <f>Capacity!I65</f>
        <v>168705.7806</v>
      </c>
      <c r="J30" s="70">
        <f>Capacity!J65</f>
        <v>200085.7511</v>
      </c>
      <c r="K30" s="70">
        <f>Capacity!K65</f>
        <v>230590.9501</v>
      </c>
      <c r="L30" s="70">
        <f>Capacity!L65</f>
        <v>260239.234</v>
      </c>
      <c r="M30" s="70">
        <f>Capacity!M65</f>
        <v>256738.5096</v>
      </c>
      <c r="N30" s="70">
        <f>Capacity!N65</f>
        <v>253284.8768</v>
      </c>
      <c r="O30" s="70">
        <f>Capacity!O65</f>
        <v>249877.702</v>
      </c>
      <c r="P30" s="70">
        <f>Capacity!P65</f>
        <v>246516.3604</v>
      </c>
      <c r="Q30" s="70">
        <f>Capacity!Q65</f>
        <v>243200.2354</v>
      </c>
      <c r="R30" s="70">
        <f>Capacity!R65</f>
        <v>239928.7187</v>
      </c>
      <c r="S30" s="70">
        <f>Capacity!S65</f>
        <v>236701.2103</v>
      </c>
      <c r="T30" s="70">
        <f>Capacity!T65</f>
        <v>233517.1182</v>
      </c>
      <c r="U30" s="70">
        <f>Capacity!U65</f>
        <v>230375.8583</v>
      </c>
      <c r="V30" s="70">
        <f>Capacity!V65</f>
        <v>227276.8544</v>
      </c>
      <c r="W30" s="70">
        <f>Capacity!W65</f>
        <v>224219.5382</v>
      </c>
      <c r="X30" s="70">
        <f>Capacity!X65</f>
        <v>221203.3489</v>
      </c>
      <c r="Y30" s="70">
        <f>Capacity!Y65</f>
        <v>218227.7331</v>
      </c>
      <c r="Z30" s="70">
        <f t="shared" si="16"/>
        <v>2111356.783</v>
      </c>
      <c r="AA30" s="70">
        <f t="shared" si="17"/>
        <v>2824329.555</v>
      </c>
    </row>
    <row r="31" outlineLevel="1">
      <c r="A31" s="6" t="s">
        <v>516</v>
      </c>
      <c r="B31" s="70">
        <f>B28*'Rep capacity'!$B$23</f>
        <v>7907.278284</v>
      </c>
      <c r="C31" s="70">
        <f>C28*'Rep capacity'!$B$23</f>
        <v>7675.709445</v>
      </c>
      <c r="D31" s="70">
        <f>D28*'Rep capacity'!$B$23</f>
        <v>15126.63167</v>
      </c>
      <c r="E31" s="70">
        <f>E28*'Rep capacity'!$B$23</f>
        <v>22134.56246</v>
      </c>
      <c r="F31" s="70">
        <f>F28*'Rep capacity'!$B$23</f>
        <v>21486.34006</v>
      </c>
      <c r="G31" s="70">
        <f>G28*'Rep capacity'!$B$23</f>
        <v>24694.95592</v>
      </c>
      <c r="H31" s="70">
        <f>H28*'Rep capacity'!$B$23</f>
        <v>27697.21215</v>
      </c>
      <c r="I31" s="70">
        <f>I28*'Rep capacity'!$B$23</f>
        <v>26886.0846</v>
      </c>
      <c r="J31" s="70">
        <f>J28*'Rep capacity'!$B$23</f>
        <v>26098.71135</v>
      </c>
      <c r="K31" s="70">
        <f>K28*'Rep capacity'!$B$23</f>
        <v>25334.39675</v>
      </c>
      <c r="L31" s="70">
        <f>L28*'Rep capacity'!$B$23</f>
        <v>24592.4655</v>
      </c>
      <c r="M31" s="70">
        <f>M28*'Rep capacity'!$B$23</f>
        <v>23872.26211</v>
      </c>
      <c r="N31" s="70">
        <f>N28*'Rep capacity'!$B$23</f>
        <v>23173.15025</v>
      </c>
      <c r="O31" s="70">
        <f>O28*'Rep capacity'!$B$23</f>
        <v>22494.51225</v>
      </c>
      <c r="P31" s="70">
        <f>P28*'Rep capacity'!$B$23</f>
        <v>25673.60326</v>
      </c>
      <c r="Q31" s="70">
        <f>Q28*'Rep capacity'!$B$23</f>
        <v>28647.19928</v>
      </c>
      <c r="R31" s="70">
        <f>R28*'Rep capacity'!$B$23</f>
        <v>27808.25085</v>
      </c>
      <c r="S31" s="70">
        <f>S28*'Rep capacity'!$B$23</f>
        <v>26993.87148</v>
      </c>
      <c r="T31" s="70">
        <f>T28*'Rep capacity'!$B$23</f>
        <v>26203.34164</v>
      </c>
      <c r="U31" s="70">
        <f>U28*'Rep capacity'!$B$23</f>
        <v>25435.96288</v>
      </c>
      <c r="V31" s="70">
        <f>V28*'Rep capacity'!$B$23</f>
        <v>24691.05722</v>
      </c>
      <c r="W31" s="70">
        <f>W28*'Rep capacity'!$B$23</f>
        <v>23967.96651</v>
      </c>
      <c r="X31" s="70">
        <f>X28*'Rep capacity'!$B$23</f>
        <v>23266.0519</v>
      </c>
      <c r="Y31" s="70">
        <f>Y28*'Rep capacity'!$B$23</f>
        <v>22584.69323</v>
      </c>
      <c r="Z31" s="70">
        <f t="shared" si="16"/>
        <v>253506.6103</v>
      </c>
      <c r="AA31" s="70">
        <f t="shared" si="17"/>
        <v>300939.6607</v>
      </c>
    </row>
    <row r="32" outlineLevel="1">
      <c r="A32" s="6" t="s">
        <v>517</v>
      </c>
      <c r="B32" s="70">
        <f>B29*'Rep capacity'!$C$23</f>
        <v>20940.2993</v>
      </c>
      <c r="C32" s="70">
        <f>C29*'Rep capacity'!$C$23</f>
        <v>20554.50633</v>
      </c>
      <c r="D32" s="70">
        <f>D29*'Rep capacity'!$C$23</f>
        <v>20175.82099</v>
      </c>
      <c r="E32" s="70">
        <f>E29*'Rep capacity'!$C$23</f>
        <v>19804.11236</v>
      </c>
      <c r="F32" s="70">
        <f>F29*'Rep capacity'!$C$23</f>
        <v>19439.25188</v>
      </c>
      <c r="G32" s="70">
        <f>G29*'Rep capacity'!$C$23</f>
        <v>19081.11341</v>
      </c>
      <c r="H32" s="70">
        <f>H29*'Rep capacity'!$C$23</f>
        <v>18729.57309</v>
      </c>
      <c r="I32" s="70">
        <f>I29*'Rep capacity'!$C$23</f>
        <v>18384.50935</v>
      </c>
      <c r="J32" s="70">
        <f>J29*'Rep capacity'!$C$23</f>
        <v>18045.8029</v>
      </c>
      <c r="K32" s="70">
        <f>K29*'Rep capacity'!$C$23</f>
        <v>17713.33659</v>
      </c>
      <c r="L32" s="70">
        <f>L29*'Rep capacity'!$C$23</f>
        <v>17386.99546</v>
      </c>
      <c r="M32" s="70">
        <f>M29*'Rep capacity'!$C$23</f>
        <v>17066.66667</v>
      </c>
      <c r="N32" s="70">
        <f>N29*'Rep capacity'!$C$23</f>
        <v>16752.23944</v>
      </c>
      <c r="O32" s="70">
        <f>O29*'Rep capacity'!$C$23</f>
        <v>16443.60506</v>
      </c>
      <c r="P32" s="70">
        <f>P29*'Rep capacity'!$C$23</f>
        <v>16140.65679</v>
      </c>
      <c r="Q32" s="70">
        <f>Q29*'Rep capacity'!$C$23</f>
        <v>15843.28989</v>
      </c>
      <c r="R32" s="70">
        <f>R29*'Rep capacity'!$C$23</f>
        <v>20502.4296</v>
      </c>
      <c r="S32" s="70">
        <f>S29*'Rep capacity'!$C$23</f>
        <v>24984.51667</v>
      </c>
      <c r="T32" s="70">
        <f>T29*'Rep capacity'!$C$23</f>
        <v>29294.49352</v>
      </c>
      <c r="U32" s="70">
        <f>U29*'Rep capacity'!$C$23</f>
        <v>28754.7873</v>
      </c>
      <c r="V32" s="70">
        <f>V29*'Rep capacity'!$C$23</f>
        <v>28225.02433</v>
      </c>
      <c r="W32" s="70">
        <f>W29*'Rep capacity'!$C$23</f>
        <v>27705.02144</v>
      </c>
      <c r="X32" s="70">
        <f>X29*'Rep capacity'!$C$23</f>
        <v>27194.59881</v>
      </c>
      <c r="Y32" s="70">
        <f>Y29*'Rep capacity'!$C$23</f>
        <v>26693.57993</v>
      </c>
      <c r="Z32" s="70">
        <f t="shared" si="16"/>
        <v>227321.9883</v>
      </c>
      <c r="AA32" s="70">
        <f t="shared" si="17"/>
        <v>278534.2428</v>
      </c>
    </row>
    <row r="33" outlineLevel="1">
      <c r="A33" s="6" t="s">
        <v>518</v>
      </c>
      <c r="B33" s="70">
        <f>B30*'Rep capacity'!$D$23</f>
        <v>17264.59093</v>
      </c>
      <c r="C33" s="70">
        <f>C30*'Rep capacity'!$D$23</f>
        <v>17032.34856</v>
      </c>
      <c r="D33" s="70">
        <f>D30*'Rep capacity'!$D$23</f>
        <v>16803.23031</v>
      </c>
      <c r="E33" s="70">
        <f>E30*'Rep capacity'!$D$23</f>
        <v>16577.19415</v>
      </c>
      <c r="F33" s="70">
        <f>F30*'Rep capacity'!$D$23</f>
        <v>16354.19861</v>
      </c>
      <c r="G33" s="70">
        <f>G30*'Rep capacity'!$D$23</f>
        <v>16134.2028</v>
      </c>
      <c r="H33" s="70">
        <f>H30*'Rep capacity'!$D$23</f>
        <v>15917.16636</v>
      </c>
      <c r="I33" s="70">
        <f>I30*'Rep capacity'!$D$23</f>
        <v>19682.34107</v>
      </c>
      <c r="J33" s="70">
        <f>J30*'Rep capacity'!$D$23</f>
        <v>23343.33763</v>
      </c>
      <c r="K33" s="70">
        <f>K30*'Rep capacity'!$D$23</f>
        <v>26902.27751</v>
      </c>
      <c r="L33" s="70">
        <f>L30*'Rep capacity'!$D$23</f>
        <v>30361.24396</v>
      </c>
      <c r="M33" s="70">
        <f>M30*'Rep capacity'!$D$23</f>
        <v>29952.82612</v>
      </c>
      <c r="N33" s="70">
        <f>N30*'Rep capacity'!$D$23</f>
        <v>29549.90229</v>
      </c>
      <c r="O33" s="70">
        <f>O30*'Rep capacity'!$D$23</f>
        <v>29152.39857</v>
      </c>
      <c r="P33" s="70">
        <f>P30*'Rep capacity'!$D$23</f>
        <v>28760.24205</v>
      </c>
      <c r="Q33" s="70">
        <f>Q30*'Rep capacity'!$D$23</f>
        <v>28373.3608</v>
      </c>
      <c r="R33" s="70">
        <f>R30*'Rep capacity'!$D$23</f>
        <v>27991.68385</v>
      </c>
      <c r="S33" s="70">
        <f>S30*'Rep capacity'!$D$23</f>
        <v>27615.1412</v>
      </c>
      <c r="T33" s="70">
        <f>T30*'Rep capacity'!$D$23</f>
        <v>27243.66379</v>
      </c>
      <c r="U33" s="70">
        <f>U30*'Rep capacity'!$D$23</f>
        <v>26877.18346</v>
      </c>
      <c r="V33" s="70">
        <f>V30*'Rep capacity'!$D$23</f>
        <v>26515.63302</v>
      </c>
      <c r="W33" s="70">
        <f>W30*'Rep capacity'!$D$23</f>
        <v>26158.94613</v>
      </c>
      <c r="X33" s="70">
        <f>X30*'Rep capacity'!$D$23</f>
        <v>25807.05737</v>
      </c>
      <c r="Y33" s="70">
        <f>Y30*'Rep capacity'!$D$23</f>
        <v>25459.9022</v>
      </c>
      <c r="Z33" s="70">
        <f t="shared" si="16"/>
        <v>246324.958</v>
      </c>
      <c r="AA33" s="70">
        <f t="shared" si="17"/>
        <v>329505.1147</v>
      </c>
    </row>
    <row r="34" outlineLevel="1">
      <c r="A34" s="6" t="s">
        <v>519</v>
      </c>
      <c r="B34" s="73">
        <f t="array" ref="B34">IF(Inputs!$B$25*Inputs!$B$24*Inputs!$B$38*Inputs!$B$39=0,0,(INDEX(Capacity!$B$15:$Y$15,1,MIN(B$2+Inputs!$B$30,24))-INDEX(Capacity!$B$16:$Y$16,1,MIN(B$2+Inputs!$B$30,24)))/(Inputs!$B$25*Inputs!$B$24*Inputs!$B$38*Inputs!$B$39))</f>
        <v>646.1393702</v>
      </c>
      <c r="C34" s="73">
        <f t="array" ref="C34">IF(Inputs!$B$25*Inputs!$B$24*Inputs!$B$38*Inputs!$B$39=0,0,(INDEX(Capacity!$B$15:$Y$15,1,MIN(C$2+Inputs!$B$30,24))-INDEX(Capacity!$B$16:$Y$16,1,MIN(C$2+Inputs!$B$30,24)))/(Inputs!$B$25*Inputs!$B$24*Inputs!$B$38*Inputs!$B$39))</f>
        <v>1273.356206</v>
      </c>
      <c r="D34" s="73">
        <f t="array" ref="D34">IF(Inputs!$B$25*Inputs!$B$24*Inputs!$B$38*Inputs!$B$39=0,0,(INDEX(Capacity!$B$15:$Y$15,1,MIN(D$2+Inputs!$B$30,24))-INDEX(Capacity!$B$16:$Y$16,1,MIN(D$2+Inputs!$B$30,24)))/(Inputs!$B$25*Inputs!$B$24*Inputs!$B$38*Inputs!$B$39))</f>
        <v>1863.28213</v>
      </c>
      <c r="E34" s="73">
        <f t="array" ref="E34">IF(Inputs!$B$25*Inputs!$B$24*Inputs!$B$38*Inputs!$B$39=0,0,(INDEX(Capacity!$B$15:$Y$15,1,MIN(E$2+Inputs!$B$30,24))-INDEX(Capacity!$B$16:$Y$16,1,MIN(E$2+Inputs!$B$30,24)))/(Inputs!$B$25*Inputs!$B$24*Inputs!$B$38*Inputs!$B$39))</f>
        <v>1808.714925</v>
      </c>
      <c r="F34" s="73">
        <f t="array" ref="F34">IF(Inputs!$B$25*Inputs!$B$24*Inputs!$B$38*Inputs!$B$39=0,0,(INDEX(Capacity!$B$15:$Y$15,1,MIN(F$2+Inputs!$B$30,24))-INDEX(Capacity!$B$16:$Y$16,1,MIN(F$2+Inputs!$B$30,24)))/(Inputs!$B$25*Inputs!$B$24*Inputs!$B$38*Inputs!$B$39))</f>
        <v>2078.815434</v>
      </c>
      <c r="G34" s="73">
        <f t="array" ref="G34">IF(Inputs!$B$25*Inputs!$B$24*Inputs!$B$38*Inputs!$B$39=0,0,(INDEX(Capacity!$B$15:$Y$15,1,MIN(G$2+Inputs!$B$30,24))-INDEX(Capacity!$B$16:$Y$16,1,MIN(G$2+Inputs!$B$30,24)))/(Inputs!$B$25*Inputs!$B$24*Inputs!$B$38*Inputs!$B$39))</f>
        <v>2331.54464</v>
      </c>
      <c r="H34" s="73">
        <f t="array" ref="H34">IF(Inputs!$B$25*Inputs!$B$24*Inputs!$B$38*Inputs!$B$39=0,0,(INDEX(Capacity!$B$15:$Y$15,1,MIN(H$2+Inputs!$B$30,24))-INDEX(Capacity!$B$16:$Y$16,1,MIN(H$2+Inputs!$B$30,24)))/(Inputs!$B$25*Inputs!$B$24*Inputs!$B$38*Inputs!$B$39))</f>
        <v>2263.264118</v>
      </c>
      <c r="I34" s="73">
        <f t="array" ref="I34">IF(Inputs!$B$25*Inputs!$B$24*Inputs!$B$38*Inputs!$B$39=0,0,(INDEX(Capacity!$B$15:$Y$15,1,MIN(I$2+Inputs!$B$30,24))-INDEX(Capacity!$B$16:$Y$16,1,MIN(I$2+Inputs!$B$30,24)))/(Inputs!$B$25*Inputs!$B$24*Inputs!$B$38*Inputs!$B$39))</f>
        <v>2196.983228</v>
      </c>
      <c r="J34" s="73">
        <f t="array" ref="J34">IF(Inputs!$B$25*Inputs!$B$24*Inputs!$B$38*Inputs!$B$39=0,0,(INDEX(Capacity!$B$15:$Y$15,1,MIN(J$2+Inputs!$B$30,24))-INDEX(Capacity!$B$16:$Y$16,1,MIN(J$2+Inputs!$B$30,24)))/(Inputs!$B$25*Inputs!$B$24*Inputs!$B$38*Inputs!$B$39))</f>
        <v>2132.643409</v>
      </c>
      <c r="K34" s="73">
        <f t="array" ref="K34">IF(Inputs!$B$25*Inputs!$B$24*Inputs!$B$38*Inputs!$B$39=0,0,(INDEX(Capacity!$B$15:$Y$15,1,MIN(K$2+Inputs!$B$30,24))-INDEX(Capacity!$B$16:$Y$16,1,MIN(K$2+Inputs!$B$30,24)))/(Inputs!$B$25*Inputs!$B$24*Inputs!$B$38*Inputs!$B$39))</f>
        <v>2070.187816</v>
      </c>
      <c r="L34" s="73">
        <f t="array" ref="L34">IF(Inputs!$B$25*Inputs!$B$24*Inputs!$B$38*Inputs!$B$39=0,0,(INDEX(Capacity!$B$15:$Y$15,1,MIN(L$2+Inputs!$B$30,24))-INDEX(Capacity!$B$16:$Y$16,1,MIN(L$2+Inputs!$B$30,24)))/(Inputs!$B$25*Inputs!$B$24*Inputs!$B$38*Inputs!$B$39))</f>
        <v>2009.561268</v>
      </c>
      <c r="M34" s="73">
        <f t="array" ref="M34">IF(Inputs!$B$25*Inputs!$B$24*Inputs!$B$38*Inputs!$B$39=0,0,(INDEX(Capacity!$B$15:$Y$15,1,MIN(M$2+Inputs!$B$30,24))-INDEX(Capacity!$B$16:$Y$16,1,MIN(M$2+Inputs!$B$30,24)))/(Inputs!$B$25*Inputs!$B$24*Inputs!$B$38*Inputs!$B$39))</f>
        <v>1950.7102</v>
      </c>
      <c r="N34" s="73">
        <f t="array" ref="N34">IF(Inputs!$B$25*Inputs!$B$24*Inputs!$B$38*Inputs!$B$39=0,0,(INDEX(Capacity!$B$15:$Y$15,1,MIN(N$2+Inputs!$B$30,24))-INDEX(Capacity!$B$16:$Y$16,1,MIN(N$2+Inputs!$B$30,24)))/(Inputs!$B$25*Inputs!$B$24*Inputs!$B$38*Inputs!$B$39))</f>
        <v>1893.582617</v>
      </c>
      <c r="O34" s="73">
        <f t="array" ref="O34">IF(Inputs!$B$25*Inputs!$B$24*Inputs!$B$38*Inputs!$B$39=0,0,(INDEX(Capacity!$B$15:$Y$15,1,MIN(O$2+Inputs!$B$30,24))-INDEX(Capacity!$B$16:$Y$16,1,MIN(O$2+Inputs!$B$30,24)))/(Inputs!$B$25*Inputs!$B$24*Inputs!$B$38*Inputs!$B$39))</f>
        <v>2161.197731</v>
      </c>
      <c r="P34" s="73">
        <f t="array" ref="P34">IF(Inputs!$B$25*Inputs!$B$24*Inputs!$B$38*Inputs!$B$39=0,0,(INDEX(Capacity!$B$15:$Y$15,1,MIN(P$2+Inputs!$B$30,24))-INDEX(Capacity!$B$16:$Y$16,1,MIN(P$2+Inputs!$B$30,24)))/(Inputs!$B$25*Inputs!$B$24*Inputs!$B$38*Inputs!$B$39))</f>
        <v>2411.514327</v>
      </c>
      <c r="Q34" s="73">
        <f t="array" ref="Q34">IF(Inputs!$B$25*Inputs!$B$24*Inputs!$B$38*Inputs!$B$39=0,0,(INDEX(Capacity!$B$15:$Y$15,1,MIN(Q$2+Inputs!$B$30,24))-INDEX(Capacity!$B$16:$Y$16,1,MIN(Q$2+Inputs!$B$30,24)))/(Inputs!$B$25*Inputs!$B$24*Inputs!$B$38*Inputs!$B$39))</f>
        <v>2340.891851</v>
      </c>
      <c r="R34" s="73">
        <f t="array" ref="R34">IF(Inputs!$B$25*Inputs!$B$24*Inputs!$B$38*Inputs!$B$39=0,0,(INDEX(Capacity!$B$15:$Y$15,1,MIN(R$2+Inputs!$B$30,24))-INDEX(Capacity!$B$16:$Y$16,1,MIN(R$2+Inputs!$B$30,24)))/(Inputs!$B$25*Inputs!$B$24*Inputs!$B$38*Inputs!$B$39))</f>
        <v>2272.337592</v>
      </c>
      <c r="S34" s="73">
        <f t="array" ref="S34">IF(Inputs!$B$25*Inputs!$B$24*Inputs!$B$38*Inputs!$B$39=0,0,(INDEX(Capacity!$B$15:$Y$15,1,MIN(S$2+Inputs!$B$30,24))-INDEX(Capacity!$B$16:$Y$16,1,MIN(S$2+Inputs!$B$30,24)))/(Inputs!$B$25*Inputs!$B$24*Inputs!$B$38*Inputs!$B$39))</f>
        <v>2205.79098</v>
      </c>
      <c r="T34" s="73">
        <f t="array" ref="T34">IF(Inputs!$B$25*Inputs!$B$24*Inputs!$B$38*Inputs!$B$39=0,0,(INDEX(Capacity!$B$15:$Y$15,1,MIN(T$2+Inputs!$B$30,24))-INDEX(Capacity!$B$16:$Y$16,1,MIN(T$2+Inputs!$B$30,24)))/(Inputs!$B$25*Inputs!$B$24*Inputs!$B$38*Inputs!$B$39))</f>
        <v>2141.193222</v>
      </c>
      <c r="U34" s="73">
        <f t="array" ref="U34">IF(Inputs!$B$25*Inputs!$B$24*Inputs!$B$38*Inputs!$B$39=0,0,(INDEX(Capacity!$B$15:$Y$15,1,MIN(U$2+Inputs!$B$30,24))-INDEX(Capacity!$B$16:$Y$16,1,MIN(U$2+Inputs!$B$30,24)))/(Inputs!$B$25*Inputs!$B$24*Inputs!$B$38*Inputs!$B$39))</f>
        <v>2078.487242</v>
      </c>
      <c r="V34" s="73">
        <f t="array" ref="V34">IF(Inputs!$B$25*Inputs!$B$24*Inputs!$B$38*Inputs!$B$39=0,0,(INDEX(Capacity!$B$15:$Y$15,1,MIN(V$2+Inputs!$B$30,24))-INDEX(Capacity!$B$16:$Y$16,1,MIN(V$2+Inputs!$B$30,24)))/(Inputs!$B$25*Inputs!$B$24*Inputs!$B$38*Inputs!$B$39))</f>
        <v>2017.617641</v>
      </c>
      <c r="W34" s="73">
        <f t="array" ref="W34">IF(Inputs!$B$25*Inputs!$B$24*Inputs!$B$38*Inputs!$B$39=0,0,(INDEX(Capacity!$B$15:$Y$15,1,MIN(W$2+Inputs!$B$30,24))-INDEX(Capacity!$B$16:$Y$16,1,MIN(W$2+Inputs!$B$30,24)))/(Inputs!$B$25*Inputs!$B$24*Inputs!$B$38*Inputs!$B$39))</f>
        <v>1958.530638</v>
      </c>
      <c r="X34" s="73">
        <f t="array" ref="X34">IF(Inputs!$B$25*Inputs!$B$24*Inputs!$B$38*Inputs!$B$39=0,0,(INDEX(Capacity!$B$15:$Y$15,1,MIN(X$2+Inputs!$B$30,24))-INDEX(Capacity!$B$16:$Y$16,1,MIN(X$2+Inputs!$B$30,24)))/(Inputs!$B$25*Inputs!$B$24*Inputs!$B$38*Inputs!$B$39))</f>
        <v>1901.17403</v>
      </c>
      <c r="Y34" s="73">
        <f t="array" ref="Y34">IF(Inputs!$B$25*Inputs!$B$24*Inputs!$B$38*Inputs!$B$39=0,0,(INDEX(Capacity!$B$15:$Y$15,1,MIN(Y$2+Inputs!$B$30,24))-INDEX(Capacity!$B$16:$Y$16,1,MIN(Y$2+Inputs!$B$30,24)))/(Inputs!$B$25*Inputs!$B$24*Inputs!$B$38*Inputs!$B$39))</f>
        <v>1901.17403</v>
      </c>
      <c r="Z34" s="73">
        <f t="shared" si="16"/>
        <v>22625.20275</v>
      </c>
      <c r="AA34" s="73">
        <f t="shared" si="17"/>
        <v>25283.4919</v>
      </c>
    </row>
    <row r="35" outlineLevel="1">
      <c r="A35" s="6" t="s">
        <v>520</v>
      </c>
      <c r="B35" s="73">
        <f t="array" ref="B35">IF(Inputs!$C$25*Inputs!$C$24*Inputs!$C$38*Inputs!$C$39=0,0,(INDEX(Capacity!$B$40:$Y$40,1,MIN(B$2+Inputs!$C$30,24))-INDEX(Capacity!$B$41:$Y$41,1,MIN(B$2+Inputs!$C$30,24)))/(Inputs!$C$25*Inputs!$C$24*Inputs!$C$38*Inputs!$C$39))</f>
        <v>475.2986966</v>
      </c>
      <c r="C35" s="73">
        <f t="array" ref="C35">IF(Inputs!$C$25*Inputs!$C$24*Inputs!$C$38*Inputs!$C$39=0,0,(INDEX(Capacity!$B$40:$Y$40,1,MIN(C$2+Inputs!$C$30,24))-INDEX(Capacity!$B$41:$Y$41,1,MIN(C$2+Inputs!$C$30,24)))/(Inputs!$C$25*Inputs!$C$24*Inputs!$C$38*Inputs!$C$39))</f>
        <v>466.5420452</v>
      </c>
      <c r="D35" s="73">
        <f t="array" ref="D35">IF(Inputs!$C$25*Inputs!$C$24*Inputs!$C$38*Inputs!$C$39=0,0,(INDEX(Capacity!$B$40:$Y$40,1,MIN(D$2+Inputs!$C$30,24))-INDEX(Capacity!$B$41:$Y$41,1,MIN(D$2+Inputs!$C$30,24)))/(Inputs!$C$25*Inputs!$C$24*Inputs!$C$38*Inputs!$C$39))</f>
        <v>457.9467218</v>
      </c>
      <c r="E35" s="73">
        <f t="array" ref="E35">IF(Inputs!$C$25*Inputs!$C$24*Inputs!$C$38*Inputs!$C$39=0,0,(INDEX(Capacity!$B$40:$Y$40,1,MIN(E$2+Inputs!$C$30,24))-INDEX(Capacity!$B$41:$Y$41,1,MIN(E$2+Inputs!$C$30,24)))/(Inputs!$C$25*Inputs!$C$24*Inputs!$C$38*Inputs!$C$39))</f>
        <v>449.509754</v>
      </c>
      <c r="F35" s="73">
        <f t="array" ref="F35">IF(Inputs!$C$25*Inputs!$C$24*Inputs!$C$38*Inputs!$C$39=0,0,(INDEX(Capacity!$B$40:$Y$40,1,MIN(F$2+Inputs!$C$30,24))-INDEX(Capacity!$B$41:$Y$41,1,MIN(F$2+Inputs!$C$30,24)))/(Inputs!$C$25*Inputs!$C$24*Inputs!$C$38*Inputs!$C$39))</f>
        <v>441.2282245</v>
      </c>
      <c r="G35" s="73">
        <f t="array" ref="G35">IF(Inputs!$C$25*Inputs!$C$24*Inputs!$C$38*Inputs!$C$39=0,0,(INDEX(Capacity!$B$40:$Y$40,1,MIN(G$2+Inputs!$C$30,24))-INDEX(Capacity!$B$41:$Y$41,1,MIN(G$2+Inputs!$C$30,24)))/(Inputs!$C$25*Inputs!$C$24*Inputs!$C$38*Inputs!$C$39))</f>
        <v>433.0992695</v>
      </c>
      <c r="H35" s="73">
        <f t="array" ref="H35">IF(Inputs!$C$25*Inputs!$C$24*Inputs!$C$38*Inputs!$C$39=0,0,(INDEX(Capacity!$B$40:$Y$40,1,MIN(H$2+Inputs!$C$30,24))-INDEX(Capacity!$B$41:$Y$41,1,MIN(H$2+Inputs!$C$30,24)))/(Inputs!$C$25*Inputs!$C$24*Inputs!$C$38*Inputs!$C$39))</f>
        <v>425.1200781</v>
      </c>
      <c r="I35" s="73">
        <f t="array" ref="I35">IF(Inputs!$C$25*Inputs!$C$24*Inputs!$C$38*Inputs!$C$39=0,0,(INDEX(Capacity!$B$40:$Y$40,1,MIN(I$2+Inputs!$C$30,24))-INDEX(Capacity!$B$41:$Y$41,1,MIN(I$2+Inputs!$C$30,24)))/(Inputs!$C$25*Inputs!$C$24*Inputs!$C$38*Inputs!$C$39))</f>
        <v>417.287891</v>
      </c>
      <c r="J35" s="73">
        <f t="array" ref="J35">IF(Inputs!$C$25*Inputs!$C$24*Inputs!$C$38*Inputs!$C$39=0,0,(INDEX(Capacity!$B$40:$Y$40,1,MIN(J$2+Inputs!$C$30,24))-INDEX(Capacity!$B$41:$Y$41,1,MIN(J$2+Inputs!$C$30,24)))/(Inputs!$C$25*Inputs!$C$24*Inputs!$C$38*Inputs!$C$39))</f>
        <v>409.6</v>
      </c>
      <c r="K35" s="73">
        <f t="array" ref="K35">IF(Inputs!$C$25*Inputs!$C$24*Inputs!$C$38*Inputs!$C$39=0,0,(INDEX(Capacity!$B$40:$Y$40,1,MIN(K$2+Inputs!$C$30,24))-INDEX(Capacity!$B$41:$Y$41,1,MIN(K$2+Inputs!$C$30,24)))/(Inputs!$C$25*Inputs!$C$24*Inputs!$C$38*Inputs!$C$39))</f>
        <v>402.0537466</v>
      </c>
      <c r="L35" s="73">
        <f t="array" ref="L35">IF(Inputs!$C$25*Inputs!$C$24*Inputs!$C$38*Inputs!$C$39=0,0,(INDEX(Capacity!$B$40:$Y$40,1,MIN(L$2+Inputs!$C$30,24))-INDEX(Capacity!$B$41:$Y$41,1,MIN(L$2+Inputs!$C$30,24)))/(Inputs!$C$25*Inputs!$C$24*Inputs!$C$38*Inputs!$C$39))</f>
        <v>394.6465214</v>
      </c>
      <c r="M35" s="73">
        <f t="array" ref="M35">IF(Inputs!$C$25*Inputs!$C$24*Inputs!$C$38*Inputs!$C$39=0,0,(INDEX(Capacity!$B$40:$Y$40,1,MIN(M$2+Inputs!$C$30,24))-INDEX(Capacity!$B$41:$Y$41,1,MIN(M$2+Inputs!$C$30,24)))/(Inputs!$C$25*Inputs!$C$24*Inputs!$C$38*Inputs!$C$39))</f>
        <v>387.375763</v>
      </c>
      <c r="N35" s="73">
        <f t="array" ref="N35">IF(Inputs!$C$25*Inputs!$C$24*Inputs!$C$38*Inputs!$C$39=0,0,(INDEX(Capacity!$B$40:$Y$40,1,MIN(N$2+Inputs!$C$30,24))-INDEX(Capacity!$B$41:$Y$41,1,MIN(N$2+Inputs!$C$30,24)))/(Inputs!$C$25*Inputs!$C$24*Inputs!$C$38*Inputs!$C$39))</f>
        <v>380.2389572</v>
      </c>
      <c r="O35" s="73">
        <f t="array" ref="O35">IF(Inputs!$C$25*Inputs!$C$24*Inputs!$C$38*Inputs!$C$39=0,0,(INDEX(Capacity!$B$40:$Y$40,1,MIN(O$2+Inputs!$C$30,24))-INDEX(Capacity!$B$41:$Y$41,1,MIN(O$2+Inputs!$C$30,24)))/(Inputs!$C$25*Inputs!$C$24*Inputs!$C$38*Inputs!$C$39))</f>
        <v>492.0583103</v>
      </c>
      <c r="P35" s="73">
        <f t="array" ref="P35">IF(Inputs!$C$25*Inputs!$C$24*Inputs!$C$38*Inputs!$C$39=0,0,(INDEX(Capacity!$B$40:$Y$40,1,MIN(P$2+Inputs!$C$30,24))-INDEX(Capacity!$B$41:$Y$41,1,MIN(P$2+Inputs!$C$30,24)))/(Inputs!$C$25*Inputs!$C$24*Inputs!$C$38*Inputs!$C$39))</f>
        <v>599.6284</v>
      </c>
      <c r="Q35" s="73">
        <f t="array" ref="Q35">IF(Inputs!$C$25*Inputs!$C$24*Inputs!$C$38*Inputs!$C$39=0,0,(INDEX(Capacity!$B$40:$Y$40,1,MIN(Q$2+Inputs!$C$30,24))-INDEX(Capacity!$B$41:$Y$41,1,MIN(Q$2+Inputs!$C$30,24)))/(Inputs!$C$25*Inputs!$C$24*Inputs!$C$38*Inputs!$C$39))</f>
        <v>703.0678446</v>
      </c>
      <c r="R35" s="73">
        <f t="array" ref="R35">IF(Inputs!$C$25*Inputs!$C$24*Inputs!$C$38*Inputs!$C$39=0,0,(INDEX(Capacity!$B$40:$Y$40,1,MIN(R$2+Inputs!$C$30,24))-INDEX(Capacity!$B$41:$Y$41,1,MIN(R$2+Inputs!$C$30,24)))/(Inputs!$C$25*Inputs!$C$24*Inputs!$C$38*Inputs!$C$39))</f>
        <v>690.1148951</v>
      </c>
      <c r="S35" s="73">
        <f t="array" ref="S35">IF(Inputs!$C$25*Inputs!$C$24*Inputs!$C$38*Inputs!$C$39=0,0,(INDEX(Capacity!$B$40:$Y$40,1,MIN(S$2+Inputs!$C$30,24))-INDEX(Capacity!$B$41:$Y$41,1,MIN(S$2+Inputs!$C$30,24)))/(Inputs!$C$25*Inputs!$C$24*Inputs!$C$38*Inputs!$C$39))</f>
        <v>677.400584</v>
      </c>
      <c r="T35" s="73">
        <f t="array" ref="T35">IF(Inputs!$C$25*Inputs!$C$24*Inputs!$C$38*Inputs!$C$39=0,0,(INDEX(Capacity!$B$40:$Y$40,1,MIN(T$2+Inputs!$C$30,24))-INDEX(Capacity!$B$41:$Y$41,1,MIN(T$2+Inputs!$C$30,24)))/(Inputs!$C$25*Inputs!$C$24*Inputs!$C$38*Inputs!$C$39))</f>
        <v>664.9205146</v>
      </c>
      <c r="U35" s="73">
        <f t="array" ref="U35">IF(Inputs!$C$25*Inputs!$C$24*Inputs!$C$38*Inputs!$C$39=0,0,(INDEX(Capacity!$B$40:$Y$40,1,MIN(U$2+Inputs!$C$30,24))-INDEX(Capacity!$B$41:$Y$41,1,MIN(U$2+Inputs!$C$30,24)))/(Inputs!$C$25*Inputs!$C$24*Inputs!$C$38*Inputs!$C$39))</f>
        <v>652.6703713</v>
      </c>
      <c r="V35" s="73">
        <f t="array" ref="V35">IF(Inputs!$C$25*Inputs!$C$24*Inputs!$C$38*Inputs!$C$39=0,0,(INDEX(Capacity!$B$40:$Y$40,1,MIN(V$2+Inputs!$C$30,24))-INDEX(Capacity!$B$41:$Y$41,1,MIN(V$2+Inputs!$C$30,24)))/(Inputs!$C$25*Inputs!$C$24*Inputs!$C$38*Inputs!$C$39))</f>
        <v>640.6459182</v>
      </c>
      <c r="W35" s="73">
        <f t="array" ref="W35">IF(Inputs!$C$25*Inputs!$C$24*Inputs!$C$38*Inputs!$C$39=0,0,(INDEX(Capacity!$B$40:$Y$40,1,MIN(W$2+Inputs!$C$30,24))-INDEX(Capacity!$B$41:$Y$41,1,MIN(W$2+Inputs!$C$30,24)))/(Inputs!$C$25*Inputs!$C$24*Inputs!$C$38*Inputs!$C$39))</f>
        <v>640.6459182</v>
      </c>
      <c r="X35" s="73">
        <f t="array" ref="X35">IF(Inputs!$C$25*Inputs!$C$24*Inputs!$C$38*Inputs!$C$39=0,0,(INDEX(Capacity!$B$40:$Y$40,1,MIN(X$2+Inputs!$C$30,24))-INDEX(Capacity!$B$41:$Y$41,1,MIN(X$2+Inputs!$C$30,24)))/(Inputs!$C$25*Inputs!$C$24*Inputs!$C$38*Inputs!$C$39))</f>
        <v>640.6459182</v>
      </c>
      <c r="Y35" s="73">
        <f t="array" ref="Y35">IF(Inputs!$C$25*Inputs!$C$24*Inputs!$C$38*Inputs!$C$39=0,0,(INDEX(Capacity!$B$40:$Y$40,1,MIN(Y$2+Inputs!$C$30,24))-INDEX(Capacity!$B$41:$Y$41,1,MIN(Y$2+Inputs!$C$30,24)))/(Inputs!$C$25*Inputs!$C$24*Inputs!$C$38*Inputs!$C$39))</f>
        <v>640.6459182</v>
      </c>
      <c r="Z35" s="73">
        <f t="shared" si="16"/>
        <v>5159.708712</v>
      </c>
      <c r="AA35" s="73">
        <f t="shared" si="17"/>
        <v>7422.68355</v>
      </c>
    </row>
    <row r="36" outlineLevel="1">
      <c r="A36" s="6" t="s">
        <v>521</v>
      </c>
      <c r="B36" s="73">
        <f t="array" ref="B36">IF(Inputs!$D$25*Inputs!$D$24*Inputs!$D$38*Inputs!$D$39=0,0,(INDEX(Capacity!$B$65:$Y$65,1,MIN(B$2+Inputs!$D$30,24))-INDEX(Capacity!$B$66:$Y$66,1,MIN(B$2+Inputs!$D$30,24)))/(Inputs!$D$25*Inputs!$D$24*Inputs!$D$38*Inputs!$D$39))</f>
        <v>50.53068685</v>
      </c>
      <c r="C36" s="73">
        <f t="array" ref="C36">IF(Inputs!$D$25*Inputs!$D$24*Inputs!$D$38*Inputs!$D$39=0,0,(INDEX(Capacity!$B$65:$Y$65,1,MIN(C$2+Inputs!$D$30,24))-INDEX(Capacity!$B$66:$Y$66,1,MIN(C$2+Inputs!$D$30,24)))/(Inputs!$D$25*Inputs!$D$24*Inputs!$D$38*Inputs!$D$39))</f>
        <v>62.48362245</v>
      </c>
      <c r="D36" s="73">
        <f t="array" ref="D36">IF(Inputs!$D$25*Inputs!$D$24*Inputs!$D$38*Inputs!$D$39=0,0,(INDEX(Capacity!$B$65:$Y$65,1,MIN(D$2+Inputs!$D$30,24))-INDEX(Capacity!$B$66:$Y$66,1,MIN(D$2+Inputs!$D$30,24)))/(Inputs!$D$25*Inputs!$D$24*Inputs!$D$38*Inputs!$D$39))</f>
        <v>74.10583375</v>
      </c>
      <c r="E36" s="73">
        <f t="array" ref="E36">IF(Inputs!$D$25*Inputs!$D$24*Inputs!$D$38*Inputs!$D$39=0,0,(INDEX(Capacity!$B$65:$Y$65,1,MIN(E$2+Inputs!$D$30,24))-INDEX(Capacity!$B$66:$Y$66,1,MIN(E$2+Inputs!$D$30,24)))/(Inputs!$D$25*Inputs!$D$24*Inputs!$D$38*Inputs!$D$39))</f>
        <v>85.4040556</v>
      </c>
      <c r="F36" s="73">
        <f t="array" ref="F36">IF(Inputs!$D$25*Inputs!$D$24*Inputs!$D$38*Inputs!$D$39=0,0,(INDEX(Capacity!$B$65:$Y$65,1,MIN(F$2+Inputs!$D$30,24))-INDEX(Capacity!$B$66:$Y$66,1,MIN(F$2+Inputs!$D$30,24)))/(Inputs!$D$25*Inputs!$D$24*Inputs!$D$38*Inputs!$D$39))</f>
        <v>96.38490147</v>
      </c>
      <c r="G36" s="73">
        <f t="array" ref="G36">IF(Inputs!$D$25*Inputs!$D$24*Inputs!$D$38*Inputs!$D$39=0,0,(INDEX(Capacity!$B$65:$Y$65,1,MIN(G$2+Inputs!$D$30,24))-INDEX(Capacity!$B$66:$Y$66,1,MIN(G$2+Inputs!$D$30,24)))/(Inputs!$D$25*Inputs!$D$24*Inputs!$D$38*Inputs!$D$39))</f>
        <v>95.08833688</v>
      </c>
      <c r="H36" s="73">
        <f t="array" ref="H36">IF(Inputs!$D$25*Inputs!$D$24*Inputs!$D$38*Inputs!$D$39=0,0,(INDEX(Capacity!$B$65:$Y$65,1,MIN(H$2+Inputs!$D$30,24))-INDEX(Capacity!$B$66:$Y$66,1,MIN(H$2+Inputs!$D$30,24)))/(Inputs!$D$25*Inputs!$D$24*Inputs!$D$38*Inputs!$D$39))</f>
        <v>93.80921361</v>
      </c>
      <c r="I36" s="73">
        <f t="array" ref="I36">IF(Inputs!$D$25*Inputs!$D$24*Inputs!$D$38*Inputs!$D$39=0,0,(INDEX(Capacity!$B$65:$Y$65,1,MIN(I$2+Inputs!$D$30,24))-INDEX(Capacity!$B$66:$Y$66,1,MIN(I$2+Inputs!$D$30,24)))/(Inputs!$D$25*Inputs!$D$24*Inputs!$D$38*Inputs!$D$39))</f>
        <v>92.54729704</v>
      </c>
      <c r="J36" s="73">
        <f t="array" ref="J36">IF(Inputs!$D$25*Inputs!$D$24*Inputs!$D$38*Inputs!$D$39=0,0,(INDEX(Capacity!$B$65:$Y$65,1,MIN(J$2+Inputs!$D$30,24))-INDEX(Capacity!$B$66:$Y$66,1,MIN(J$2+Inputs!$D$30,24)))/(Inputs!$D$25*Inputs!$D$24*Inputs!$D$38*Inputs!$D$39))</f>
        <v>91.30235571</v>
      </c>
      <c r="K36" s="73">
        <f t="array" ref="K36">IF(Inputs!$D$25*Inputs!$D$24*Inputs!$D$38*Inputs!$D$39=0,0,(INDEX(Capacity!$B$65:$Y$65,1,MIN(K$2+Inputs!$D$30,24))-INDEX(Capacity!$B$66:$Y$66,1,MIN(K$2+Inputs!$D$30,24)))/(Inputs!$D$25*Inputs!$D$24*Inputs!$D$38*Inputs!$D$39))</f>
        <v>90.07416126</v>
      </c>
      <c r="L36" s="73">
        <f t="array" ref="L36">IF(Inputs!$D$25*Inputs!$D$24*Inputs!$D$38*Inputs!$D$39=0,0,(INDEX(Capacity!$B$65:$Y$65,1,MIN(L$2+Inputs!$D$30,24))-INDEX(Capacity!$B$66:$Y$66,1,MIN(L$2+Inputs!$D$30,24)))/(Inputs!$D$25*Inputs!$D$24*Inputs!$D$38*Inputs!$D$39))</f>
        <v>88.86248841</v>
      </c>
      <c r="M36" s="73">
        <f t="array" ref="M36">IF(Inputs!$D$25*Inputs!$D$24*Inputs!$D$38*Inputs!$D$39=0,0,(INDEX(Capacity!$B$65:$Y$65,1,MIN(M$2+Inputs!$D$30,24))-INDEX(Capacity!$B$66:$Y$66,1,MIN(M$2+Inputs!$D$30,24)))/(Inputs!$D$25*Inputs!$D$24*Inputs!$D$38*Inputs!$D$39))</f>
        <v>87.66711493</v>
      </c>
      <c r="N36" s="73">
        <f t="array" ref="N36">IF(Inputs!$D$25*Inputs!$D$24*Inputs!$D$38*Inputs!$D$39=0,0,(INDEX(Capacity!$B$65:$Y$65,1,MIN(N$2+Inputs!$D$30,24))-INDEX(Capacity!$B$66:$Y$66,1,MIN(N$2+Inputs!$D$30,24)))/(Inputs!$D$25*Inputs!$D$24*Inputs!$D$38*Inputs!$D$39))</f>
        <v>86.48782154</v>
      </c>
      <c r="O36" s="73">
        <f t="array" ref="O36">IF(Inputs!$D$25*Inputs!$D$24*Inputs!$D$38*Inputs!$D$39=0,0,(INDEX(Capacity!$B$65:$Y$65,1,MIN(O$2+Inputs!$D$30,24))-INDEX(Capacity!$B$66:$Y$66,1,MIN(O$2+Inputs!$D$30,24)))/(Inputs!$D$25*Inputs!$D$24*Inputs!$D$38*Inputs!$D$39))</f>
        <v>85.32439195</v>
      </c>
      <c r="P36" s="73">
        <f t="array" ref="P36">IF(Inputs!$D$25*Inputs!$D$24*Inputs!$D$38*Inputs!$D$39=0,0,(INDEX(Capacity!$B$65:$Y$65,1,MIN(P$2+Inputs!$D$30,24))-INDEX(Capacity!$B$66:$Y$66,1,MIN(P$2+Inputs!$D$30,24)))/(Inputs!$D$25*Inputs!$D$24*Inputs!$D$38*Inputs!$D$39))</f>
        <v>84.17661275</v>
      </c>
      <c r="Q36" s="73">
        <f t="array" ref="Q36">IF(Inputs!$D$25*Inputs!$D$24*Inputs!$D$38*Inputs!$D$39=0,0,(INDEX(Capacity!$B$65:$Y$65,1,MIN(Q$2+Inputs!$D$30,24))-INDEX(Capacity!$B$66:$Y$66,1,MIN(Q$2+Inputs!$D$30,24)))/(Inputs!$D$25*Inputs!$D$24*Inputs!$D$38*Inputs!$D$39))</f>
        <v>83.04427341</v>
      </c>
      <c r="R36" s="73">
        <f t="array" ref="R36">IF(Inputs!$D$25*Inputs!$D$24*Inputs!$D$38*Inputs!$D$39=0,0,(INDEX(Capacity!$B$65:$Y$65,1,MIN(R$2+Inputs!$D$30,24))-INDEX(Capacity!$B$66:$Y$66,1,MIN(R$2+Inputs!$D$30,24)))/(Inputs!$D$25*Inputs!$D$24*Inputs!$D$38*Inputs!$D$39))</f>
        <v>81.92716625</v>
      </c>
      <c r="S36" s="73">
        <f t="array" ref="S36">IF(Inputs!$D$25*Inputs!$D$24*Inputs!$D$38*Inputs!$D$39=0,0,(INDEX(Capacity!$B$65:$Y$65,1,MIN(S$2+Inputs!$D$30,24))-INDEX(Capacity!$B$66:$Y$66,1,MIN(S$2+Inputs!$D$30,24)))/(Inputs!$D$25*Inputs!$D$24*Inputs!$D$38*Inputs!$D$39))</f>
        <v>80.82508635</v>
      </c>
      <c r="T36" s="73">
        <f t="array" ref="T36">IF(Inputs!$D$25*Inputs!$D$24*Inputs!$D$38*Inputs!$D$39=0,0,(INDEX(Capacity!$B$65:$Y$65,1,MIN(T$2+Inputs!$D$30,24))-INDEX(Capacity!$B$66:$Y$66,1,MIN(T$2+Inputs!$D$30,24)))/(Inputs!$D$25*Inputs!$D$24*Inputs!$D$38*Inputs!$D$39))</f>
        <v>80.82508635</v>
      </c>
      <c r="U36" s="73">
        <f t="array" ref="U36">IF(Inputs!$D$25*Inputs!$D$24*Inputs!$D$38*Inputs!$D$39=0,0,(INDEX(Capacity!$B$65:$Y$65,1,MIN(U$2+Inputs!$D$30,24))-INDEX(Capacity!$B$66:$Y$66,1,MIN(U$2+Inputs!$D$30,24)))/(Inputs!$D$25*Inputs!$D$24*Inputs!$D$38*Inputs!$D$39))</f>
        <v>80.82508635</v>
      </c>
      <c r="V36" s="73">
        <f t="array" ref="V36">IF(Inputs!$D$25*Inputs!$D$24*Inputs!$D$38*Inputs!$D$39=0,0,(INDEX(Capacity!$B$65:$Y$65,1,MIN(V$2+Inputs!$D$30,24))-INDEX(Capacity!$B$66:$Y$66,1,MIN(V$2+Inputs!$D$30,24)))/(Inputs!$D$25*Inputs!$D$24*Inputs!$D$38*Inputs!$D$39))</f>
        <v>80.82508635</v>
      </c>
      <c r="W36" s="73">
        <f t="array" ref="W36">IF(Inputs!$D$25*Inputs!$D$24*Inputs!$D$38*Inputs!$D$39=0,0,(INDEX(Capacity!$B$65:$Y$65,1,MIN(W$2+Inputs!$D$30,24))-INDEX(Capacity!$B$66:$Y$66,1,MIN(W$2+Inputs!$D$30,24)))/(Inputs!$D$25*Inputs!$D$24*Inputs!$D$38*Inputs!$D$39))</f>
        <v>80.82508635</v>
      </c>
      <c r="X36" s="73">
        <f t="array" ref="X36">IF(Inputs!$D$25*Inputs!$D$24*Inputs!$D$38*Inputs!$D$39=0,0,(INDEX(Capacity!$B$65:$Y$65,1,MIN(X$2+Inputs!$D$30,24))-INDEX(Capacity!$B$66:$Y$66,1,MIN(X$2+Inputs!$D$30,24)))/(Inputs!$D$25*Inputs!$D$24*Inputs!$D$38*Inputs!$D$39))</f>
        <v>80.82508635</v>
      </c>
      <c r="Y36" s="73">
        <f t="array" ref="Y36">IF(Inputs!$D$25*Inputs!$D$24*Inputs!$D$38*Inputs!$D$39=0,0,(INDEX(Capacity!$B$65:$Y$65,1,MIN(Y$2+Inputs!$D$30,24))-INDEX(Capacity!$B$66:$Y$66,1,MIN(Y$2+Inputs!$D$30,24)))/(Inputs!$D$25*Inputs!$D$24*Inputs!$D$38*Inputs!$D$39))</f>
        <v>80.82508635</v>
      </c>
      <c r="Z36" s="73">
        <f t="shared" si="16"/>
        <v>1008.260068</v>
      </c>
      <c r="AA36" s="73">
        <f t="shared" si="17"/>
        <v>986.7358704</v>
      </c>
    </row>
    <row r="37" outlineLevel="1">
      <c r="A37" s="6" t="s">
        <v>522</v>
      </c>
      <c r="B37" s="70">
        <f>B34*Inputs!$B$49</f>
        <v>32306.96851</v>
      </c>
      <c r="C37" s="70">
        <f>C34*Inputs!$B$49</f>
        <v>63667.81031</v>
      </c>
      <c r="D37" s="70">
        <f>D34*Inputs!$B$49</f>
        <v>93164.10652</v>
      </c>
      <c r="E37" s="70">
        <f>E34*Inputs!$B$49</f>
        <v>90435.74625</v>
      </c>
      <c r="F37" s="70">
        <f>F34*Inputs!$B$49</f>
        <v>103940.7717</v>
      </c>
      <c r="G37" s="70">
        <f>G34*Inputs!$B$49</f>
        <v>116577.232</v>
      </c>
      <c r="H37" s="70">
        <f>H34*Inputs!$B$49</f>
        <v>113163.2059</v>
      </c>
      <c r="I37" s="70">
        <f>I34*Inputs!$B$49</f>
        <v>109849.1614</v>
      </c>
      <c r="J37" s="70">
        <f>J34*Inputs!$B$49</f>
        <v>106632.1705</v>
      </c>
      <c r="K37" s="70">
        <f>K34*Inputs!$B$49</f>
        <v>103509.3908</v>
      </c>
      <c r="L37" s="70">
        <f>L34*Inputs!$B$49</f>
        <v>100478.0634</v>
      </c>
      <c r="M37" s="70">
        <f>M34*Inputs!$B$49</f>
        <v>97535.51001</v>
      </c>
      <c r="N37" s="70">
        <f>N34*Inputs!$B$49</f>
        <v>94679.13086</v>
      </c>
      <c r="O37" s="70">
        <f>O34*Inputs!$B$49</f>
        <v>108059.8866</v>
      </c>
      <c r="P37" s="70">
        <f>P34*Inputs!$B$49</f>
        <v>120575.7164</v>
      </c>
      <c r="Q37" s="70">
        <f>Q34*Inputs!$B$49</f>
        <v>117044.5926</v>
      </c>
      <c r="R37" s="70">
        <f>R34*Inputs!$B$49</f>
        <v>113616.8796</v>
      </c>
      <c r="S37" s="70">
        <f>S34*Inputs!$B$49</f>
        <v>110289.549</v>
      </c>
      <c r="T37" s="70">
        <f>T34*Inputs!$B$49</f>
        <v>107059.6611</v>
      </c>
      <c r="U37" s="70">
        <f>U34*Inputs!$B$49</f>
        <v>103924.3621</v>
      </c>
      <c r="V37" s="70">
        <f>V34*Inputs!$B$49</f>
        <v>100880.8821</v>
      </c>
      <c r="W37" s="70">
        <f>W34*Inputs!$B$49</f>
        <v>97926.53192</v>
      </c>
      <c r="X37" s="70">
        <f>X34*Inputs!$B$49</f>
        <v>95058.70149</v>
      </c>
      <c r="Y37" s="70">
        <f>Y34*Inputs!$B$49</f>
        <v>95058.70149</v>
      </c>
      <c r="Z37" s="70">
        <f t="shared" si="16"/>
        <v>1131260.137</v>
      </c>
      <c r="AA37" s="70">
        <f t="shared" si="17"/>
        <v>1264174.595</v>
      </c>
    </row>
    <row r="38" outlineLevel="1">
      <c r="A38" s="6" t="s">
        <v>523</v>
      </c>
      <c r="B38" s="70">
        <f>B35*Inputs!$C$49</f>
        <v>71294.80448</v>
      </c>
      <c r="C38" s="70">
        <f>C35*Inputs!$C$49</f>
        <v>69981.30678</v>
      </c>
      <c r="D38" s="70">
        <f>D35*Inputs!$C$49</f>
        <v>68692.00827</v>
      </c>
      <c r="E38" s="70">
        <f>E35*Inputs!$C$49</f>
        <v>67426.46311</v>
      </c>
      <c r="F38" s="70">
        <f>F35*Inputs!$C$49</f>
        <v>66184.23368</v>
      </c>
      <c r="G38" s="70">
        <f>G35*Inputs!$C$49</f>
        <v>64964.89043</v>
      </c>
      <c r="H38" s="70">
        <f>H35*Inputs!$C$49</f>
        <v>63768.01171</v>
      </c>
      <c r="I38" s="70">
        <f>I35*Inputs!$C$49</f>
        <v>62593.18365</v>
      </c>
      <c r="J38" s="70">
        <f>J35*Inputs!$C$49</f>
        <v>61440</v>
      </c>
      <c r="K38" s="70">
        <f>K35*Inputs!$C$49</f>
        <v>60308.062</v>
      </c>
      <c r="L38" s="70">
        <f>L35*Inputs!$C$49</f>
        <v>59196.97822</v>
      </c>
      <c r="M38" s="70">
        <f>M35*Inputs!$C$49</f>
        <v>58106.36446</v>
      </c>
      <c r="N38" s="70">
        <f>N35*Inputs!$C$49</f>
        <v>57035.84359</v>
      </c>
      <c r="O38" s="70">
        <f>O35*Inputs!$C$49</f>
        <v>73808.74655</v>
      </c>
      <c r="P38" s="70">
        <f>P35*Inputs!$C$49</f>
        <v>89944.26001</v>
      </c>
      <c r="Q38" s="70">
        <f>Q35*Inputs!$C$49</f>
        <v>105460.1767</v>
      </c>
      <c r="R38" s="70">
        <f>R35*Inputs!$C$49</f>
        <v>103517.2343</v>
      </c>
      <c r="S38" s="70">
        <f>S35*Inputs!$C$49</f>
        <v>101610.0876</v>
      </c>
      <c r="T38" s="70">
        <f>T35*Inputs!$C$49</f>
        <v>99738.07719</v>
      </c>
      <c r="U38" s="70">
        <f>U35*Inputs!$C$49</f>
        <v>97900.5557</v>
      </c>
      <c r="V38" s="70">
        <f>V35*Inputs!$C$49</f>
        <v>96096.88774</v>
      </c>
      <c r="W38" s="70">
        <f>W35*Inputs!$C$49</f>
        <v>96096.88774</v>
      </c>
      <c r="X38" s="70">
        <f>X35*Inputs!$C$49</f>
        <v>96096.88774</v>
      </c>
      <c r="Y38" s="70">
        <f>Y35*Inputs!$C$49</f>
        <v>96096.88774</v>
      </c>
      <c r="Z38" s="70">
        <f t="shared" si="16"/>
        <v>773956.3068</v>
      </c>
      <c r="AA38" s="70">
        <f t="shared" si="17"/>
        <v>1113402.533</v>
      </c>
    </row>
    <row r="39" outlineLevel="1">
      <c r="A39" s="6" t="s">
        <v>524</v>
      </c>
      <c r="B39" s="70">
        <f>B36*Inputs!$D$49</f>
        <v>40424.54948</v>
      </c>
      <c r="C39" s="70">
        <f>C36*Inputs!$D$49</f>
        <v>49986.89796</v>
      </c>
      <c r="D39" s="70">
        <f>D36*Inputs!$D$49</f>
        <v>59284.667</v>
      </c>
      <c r="E39" s="70">
        <f>E36*Inputs!$D$49</f>
        <v>68323.24448</v>
      </c>
      <c r="F39" s="70">
        <f>F36*Inputs!$D$49</f>
        <v>77107.92118</v>
      </c>
      <c r="G39" s="70">
        <f>G36*Inputs!$D$49</f>
        <v>76070.66951</v>
      </c>
      <c r="H39" s="70">
        <f>H36*Inputs!$D$49</f>
        <v>75047.37089</v>
      </c>
      <c r="I39" s="70">
        <f>I36*Inputs!$D$49</f>
        <v>74037.83763</v>
      </c>
      <c r="J39" s="70">
        <f>J36*Inputs!$D$49</f>
        <v>73041.88457</v>
      </c>
      <c r="K39" s="70">
        <f>K36*Inputs!$D$49</f>
        <v>72059.329</v>
      </c>
      <c r="L39" s="70">
        <f>L36*Inputs!$D$49</f>
        <v>71089.99073</v>
      </c>
      <c r="M39" s="70">
        <f>M36*Inputs!$D$49</f>
        <v>70133.69194</v>
      </c>
      <c r="N39" s="70">
        <f>N36*Inputs!$D$49</f>
        <v>69190.25723</v>
      </c>
      <c r="O39" s="70">
        <f>O36*Inputs!$D$49</f>
        <v>68259.51356</v>
      </c>
      <c r="P39" s="70">
        <f>P36*Inputs!$D$49</f>
        <v>67341.2902</v>
      </c>
      <c r="Q39" s="70">
        <f>Q36*Inputs!$D$49</f>
        <v>66435.41873</v>
      </c>
      <c r="R39" s="70">
        <f>R36*Inputs!$D$49</f>
        <v>65541.733</v>
      </c>
      <c r="S39" s="70">
        <f>S36*Inputs!$D$49</f>
        <v>64660.06908</v>
      </c>
      <c r="T39" s="70">
        <f>T36*Inputs!$D$49</f>
        <v>64660.06908</v>
      </c>
      <c r="U39" s="70">
        <f>U36*Inputs!$D$49</f>
        <v>64660.06908</v>
      </c>
      <c r="V39" s="70">
        <f>V36*Inputs!$D$49</f>
        <v>64660.06908</v>
      </c>
      <c r="W39" s="70">
        <f>W36*Inputs!$D$49</f>
        <v>64660.06908</v>
      </c>
      <c r="X39" s="70">
        <f>X36*Inputs!$D$49</f>
        <v>64660.06908</v>
      </c>
      <c r="Y39" s="70">
        <f>Y36*Inputs!$D$49</f>
        <v>64660.06908</v>
      </c>
      <c r="Z39" s="70">
        <f t="shared" si="16"/>
        <v>806608.0544</v>
      </c>
      <c r="AA39" s="70">
        <f t="shared" si="17"/>
        <v>789388.6963</v>
      </c>
    </row>
    <row r="40" outlineLevel="1">
      <c r="A40" s="99" t="s">
        <v>525</v>
      </c>
      <c r="B40" s="100">
        <f t="shared" ref="B40:Y40" si="18">B25+B26+B27</f>
        <v>127604.1667</v>
      </c>
      <c r="C40" s="100">
        <f t="shared" si="18"/>
        <v>126246.8863</v>
      </c>
      <c r="D40" s="100">
        <f t="shared" si="18"/>
        <v>123822.4908</v>
      </c>
      <c r="E40" s="100">
        <f t="shared" si="18"/>
        <v>133429.373</v>
      </c>
      <c r="F40" s="100">
        <f t="shared" si="18"/>
        <v>131107.9601</v>
      </c>
      <c r="G40" s="100">
        <f t="shared" si="18"/>
        <v>128485.395</v>
      </c>
      <c r="H40" s="100">
        <f t="shared" si="18"/>
        <v>125921.591</v>
      </c>
      <c r="I40" s="100">
        <f t="shared" si="18"/>
        <v>123415.1009</v>
      </c>
      <c r="J40" s="100">
        <f t="shared" si="18"/>
        <v>120964.5153</v>
      </c>
      <c r="K40" s="100">
        <f t="shared" si="18"/>
        <v>118568.4622</v>
      </c>
      <c r="L40" s="100">
        <f t="shared" si="18"/>
        <v>116225.6054</v>
      </c>
      <c r="M40" s="100">
        <f t="shared" si="18"/>
        <v>113934.6441</v>
      </c>
      <c r="N40" s="100">
        <f t="shared" si="18"/>
        <v>148673.478</v>
      </c>
      <c r="O40" s="100">
        <f t="shared" si="18"/>
        <v>146482.5401</v>
      </c>
      <c r="P40" s="100">
        <f t="shared" si="18"/>
        <v>143528.3926</v>
      </c>
      <c r="Q40" s="100">
        <f t="shared" si="18"/>
        <v>140640.028</v>
      </c>
      <c r="R40" s="100">
        <f t="shared" si="18"/>
        <v>137815.8496</v>
      </c>
      <c r="S40" s="100">
        <f t="shared" si="18"/>
        <v>135054.302</v>
      </c>
      <c r="T40" s="100">
        <f t="shared" si="18"/>
        <v>132353.8702</v>
      </c>
      <c r="U40" s="100">
        <f t="shared" si="18"/>
        <v>129713.0784</v>
      </c>
      <c r="V40" s="100">
        <f t="shared" si="18"/>
        <v>127130.4887</v>
      </c>
      <c r="W40" s="100">
        <f t="shared" si="18"/>
        <v>124604.7005</v>
      </c>
      <c r="X40" s="100">
        <f t="shared" si="18"/>
        <v>122134.3491</v>
      </c>
      <c r="Y40" s="100">
        <f t="shared" si="18"/>
        <v>119718.1051</v>
      </c>
      <c r="Z40" s="100">
        <f t="shared" si="16"/>
        <v>1489726.191</v>
      </c>
      <c r="AA40" s="100">
        <f t="shared" si="17"/>
        <v>1607849.182</v>
      </c>
    </row>
    <row r="41" outlineLevel="1">
      <c r="A41" s="6" t="s">
        <v>526</v>
      </c>
      <c r="B41" s="70">
        <f t="shared" ref="B41:Y41" si="19">B31+B32+B33</f>
        <v>46112.16852</v>
      </c>
      <c r="C41" s="70">
        <f t="shared" si="19"/>
        <v>45262.56434</v>
      </c>
      <c r="D41" s="70">
        <f t="shared" si="19"/>
        <v>52105.68298</v>
      </c>
      <c r="E41" s="70">
        <f t="shared" si="19"/>
        <v>58515.86897</v>
      </c>
      <c r="F41" s="70">
        <f t="shared" si="19"/>
        <v>57279.79056</v>
      </c>
      <c r="G41" s="70">
        <f t="shared" si="19"/>
        <v>59910.27213</v>
      </c>
      <c r="H41" s="70">
        <f t="shared" si="19"/>
        <v>62343.95159</v>
      </c>
      <c r="I41" s="70">
        <f t="shared" si="19"/>
        <v>64952.93503</v>
      </c>
      <c r="J41" s="70">
        <f t="shared" si="19"/>
        <v>67487.85188</v>
      </c>
      <c r="K41" s="70">
        <f t="shared" si="19"/>
        <v>69950.01085</v>
      </c>
      <c r="L41" s="70">
        <f t="shared" si="19"/>
        <v>72340.70492</v>
      </c>
      <c r="M41" s="70">
        <f t="shared" si="19"/>
        <v>70891.75489</v>
      </c>
      <c r="N41" s="70">
        <f t="shared" si="19"/>
        <v>69475.29198</v>
      </c>
      <c r="O41" s="70">
        <f t="shared" si="19"/>
        <v>68090.51588</v>
      </c>
      <c r="P41" s="70">
        <f t="shared" si="19"/>
        <v>70574.5021</v>
      </c>
      <c r="Q41" s="70">
        <f t="shared" si="19"/>
        <v>72863.84996</v>
      </c>
      <c r="R41" s="70">
        <f t="shared" si="19"/>
        <v>76302.3643</v>
      </c>
      <c r="S41" s="70">
        <f t="shared" si="19"/>
        <v>79593.52935</v>
      </c>
      <c r="T41" s="70">
        <f t="shared" si="19"/>
        <v>82741.49895</v>
      </c>
      <c r="U41" s="70">
        <f t="shared" si="19"/>
        <v>81067.93364</v>
      </c>
      <c r="V41" s="70">
        <f t="shared" si="19"/>
        <v>79431.71456</v>
      </c>
      <c r="W41" s="70">
        <f t="shared" si="19"/>
        <v>77831.93408</v>
      </c>
      <c r="X41" s="70">
        <f t="shared" si="19"/>
        <v>76267.70807</v>
      </c>
      <c r="Y41" s="70">
        <f t="shared" si="19"/>
        <v>74738.17536</v>
      </c>
      <c r="Z41" s="70">
        <f t="shared" si="16"/>
        <v>727153.5566</v>
      </c>
      <c r="AA41" s="70">
        <f t="shared" si="17"/>
        <v>908979.0182</v>
      </c>
    </row>
    <row r="42" outlineLevel="1">
      <c r="A42" s="6" t="s">
        <v>527</v>
      </c>
      <c r="B42" s="70">
        <f>(B40+B41)*Inputs!$B$51</f>
        <v>173716.3352</v>
      </c>
      <c r="C42" s="70">
        <f>(C40+C41)*Inputs!$B$51</f>
        <v>171509.4506</v>
      </c>
      <c r="D42" s="70">
        <f>(D40+D41)*Inputs!$B$51</f>
        <v>175928.1738</v>
      </c>
      <c r="E42" s="70">
        <f>(E40+E41)*Inputs!$B$51</f>
        <v>191945.242</v>
      </c>
      <c r="F42" s="70">
        <f>(F40+F41)*Inputs!$B$51</f>
        <v>188387.7507</v>
      </c>
      <c r="G42" s="70">
        <f>(G40+G41)*Inputs!$B$51</f>
        <v>188395.6671</v>
      </c>
      <c r="H42" s="70">
        <f>(H40+H41)*Inputs!$B$51</f>
        <v>188265.5426</v>
      </c>
      <c r="I42" s="70">
        <f>(I40+I41)*Inputs!$B$51</f>
        <v>188368.0359</v>
      </c>
      <c r="J42" s="70">
        <f>(J40+J41)*Inputs!$B$51</f>
        <v>188452.3672</v>
      </c>
      <c r="K42" s="70">
        <f>(K40+K41)*Inputs!$B$51</f>
        <v>188518.473</v>
      </c>
      <c r="L42" s="70">
        <f>(L40+L41)*Inputs!$B$51</f>
        <v>188566.3104</v>
      </c>
      <c r="M42" s="70">
        <f>(M40+M41)*Inputs!$B$51</f>
        <v>184826.399</v>
      </c>
      <c r="N42" s="70">
        <f>(N40+N41)*Inputs!$B$51</f>
        <v>218148.77</v>
      </c>
      <c r="O42" s="70">
        <f>(O40+O41)*Inputs!$B$51</f>
        <v>214573.056</v>
      </c>
      <c r="P42" s="70">
        <f>(P40+P41)*Inputs!$B$51</f>
        <v>214102.8947</v>
      </c>
      <c r="Q42" s="70">
        <f>(Q40+Q41)*Inputs!$B$51</f>
        <v>213503.878</v>
      </c>
      <c r="R42" s="70">
        <f>(R40+R41)*Inputs!$B$51</f>
        <v>214118.2139</v>
      </c>
      <c r="S42" s="70">
        <f>(S40+S41)*Inputs!$B$51</f>
        <v>214647.8313</v>
      </c>
      <c r="T42" s="70">
        <f>(T40+T41)*Inputs!$B$51</f>
        <v>215095.3692</v>
      </c>
      <c r="U42" s="70">
        <f>(U40+U41)*Inputs!$B$51</f>
        <v>210781.012</v>
      </c>
      <c r="V42" s="70">
        <f>(V40+V41)*Inputs!$B$51</f>
        <v>206562.2033</v>
      </c>
      <c r="W42" s="70">
        <f>(W40+W41)*Inputs!$B$51</f>
        <v>202436.6345</v>
      </c>
      <c r="X42" s="70">
        <f>(X40+X41)*Inputs!$B$51</f>
        <v>198402.0572</v>
      </c>
      <c r="Y42" s="70">
        <f>(Y40+Y41)*Inputs!$B$51</f>
        <v>194456.2805</v>
      </c>
      <c r="Z42" s="70">
        <f t="shared" si="16"/>
        <v>2216879.748</v>
      </c>
      <c r="AA42" s="70">
        <f t="shared" si="17"/>
        <v>2516828.2</v>
      </c>
    </row>
    <row r="43" outlineLevel="1">
      <c r="A43" s="6" t="s">
        <v>528</v>
      </c>
      <c r="B43" s="70">
        <f t="shared" ref="B43:Y43" si="20">B37+B38+B39</f>
        <v>144026.3225</v>
      </c>
      <c r="C43" s="70">
        <f t="shared" si="20"/>
        <v>183636.0151</v>
      </c>
      <c r="D43" s="70">
        <f t="shared" si="20"/>
        <v>221140.7818</v>
      </c>
      <c r="E43" s="70">
        <f t="shared" si="20"/>
        <v>226185.4538</v>
      </c>
      <c r="F43" s="70">
        <f t="shared" si="20"/>
        <v>247232.9266</v>
      </c>
      <c r="G43" s="70">
        <f t="shared" si="20"/>
        <v>257612.7919</v>
      </c>
      <c r="H43" s="70">
        <f t="shared" si="20"/>
        <v>251978.5885</v>
      </c>
      <c r="I43" s="70">
        <f t="shared" si="20"/>
        <v>246480.1827</v>
      </c>
      <c r="J43" s="70">
        <f t="shared" si="20"/>
        <v>241114.055</v>
      </c>
      <c r="K43" s="70">
        <f t="shared" si="20"/>
        <v>235876.7818</v>
      </c>
      <c r="L43" s="70">
        <f t="shared" si="20"/>
        <v>230765.0323</v>
      </c>
      <c r="M43" s="70">
        <f t="shared" si="20"/>
        <v>225775.5664</v>
      </c>
      <c r="N43" s="70">
        <f t="shared" si="20"/>
        <v>220905.2317</v>
      </c>
      <c r="O43" s="70">
        <f t="shared" si="20"/>
        <v>250128.1467</v>
      </c>
      <c r="P43" s="70">
        <f t="shared" si="20"/>
        <v>277861.2666</v>
      </c>
      <c r="Q43" s="70">
        <f t="shared" si="20"/>
        <v>288940.188</v>
      </c>
      <c r="R43" s="70">
        <f t="shared" si="20"/>
        <v>282675.8469</v>
      </c>
      <c r="S43" s="70">
        <f t="shared" si="20"/>
        <v>276559.7057</v>
      </c>
      <c r="T43" s="70">
        <f t="shared" si="20"/>
        <v>271457.8073</v>
      </c>
      <c r="U43" s="70">
        <f t="shared" si="20"/>
        <v>266484.9869</v>
      </c>
      <c r="V43" s="70">
        <f t="shared" si="20"/>
        <v>261637.8389</v>
      </c>
      <c r="W43" s="70">
        <f t="shared" si="20"/>
        <v>258683.4887</v>
      </c>
      <c r="X43" s="70">
        <f t="shared" si="20"/>
        <v>255815.6583</v>
      </c>
      <c r="Y43" s="70">
        <f t="shared" si="20"/>
        <v>255815.6583</v>
      </c>
      <c r="Z43" s="70">
        <f t="shared" si="16"/>
        <v>2711824.498</v>
      </c>
      <c r="AA43" s="70">
        <f t="shared" si="17"/>
        <v>3166965.824</v>
      </c>
    </row>
    <row r="44" outlineLevel="1">
      <c r="A44" s="6" t="s">
        <v>529</v>
      </c>
      <c r="B44" s="70">
        <f>Inputs!$B$52</f>
        <v>100000</v>
      </c>
      <c r="C44" s="70">
        <f>Inputs!$B$52</f>
        <v>100000</v>
      </c>
      <c r="D44" s="70">
        <f>Inputs!$B$52</f>
        <v>100000</v>
      </c>
      <c r="E44" s="70">
        <f>Inputs!$B$52</f>
        <v>100000</v>
      </c>
      <c r="F44" s="70">
        <f>Inputs!$B$52</f>
        <v>100000</v>
      </c>
      <c r="G44" s="70">
        <f>Inputs!$B$52</f>
        <v>100000</v>
      </c>
      <c r="H44" s="70">
        <f>Inputs!$B$52</f>
        <v>100000</v>
      </c>
      <c r="I44" s="70">
        <f>Inputs!$B$52</f>
        <v>100000</v>
      </c>
      <c r="J44" s="70">
        <f>Inputs!$B$52</f>
        <v>100000</v>
      </c>
      <c r="K44" s="70">
        <f>Inputs!$B$52</f>
        <v>100000</v>
      </c>
      <c r="L44" s="70">
        <f>Inputs!$B$52</f>
        <v>100000</v>
      </c>
      <c r="M44" s="70">
        <f>Inputs!$B$52</f>
        <v>100000</v>
      </c>
      <c r="N44" s="70">
        <f>Inputs!$B$52</f>
        <v>100000</v>
      </c>
      <c r="O44" s="70">
        <f>Inputs!$B$52</f>
        <v>100000</v>
      </c>
      <c r="P44" s="70">
        <f>Inputs!$B$52</f>
        <v>100000</v>
      </c>
      <c r="Q44" s="70">
        <f>Inputs!$B$52</f>
        <v>100000</v>
      </c>
      <c r="R44" s="70">
        <f>Inputs!$B$52</f>
        <v>100000</v>
      </c>
      <c r="S44" s="70">
        <f>Inputs!$B$52</f>
        <v>100000</v>
      </c>
      <c r="T44" s="70">
        <f>Inputs!$B$52</f>
        <v>100000</v>
      </c>
      <c r="U44" s="70">
        <f>Inputs!$B$52</f>
        <v>100000</v>
      </c>
      <c r="V44" s="70">
        <f>Inputs!$B$52</f>
        <v>100000</v>
      </c>
      <c r="W44" s="70">
        <f>Inputs!$B$52</f>
        <v>100000</v>
      </c>
      <c r="X44" s="70">
        <f>Inputs!$B$52</f>
        <v>100000</v>
      </c>
      <c r="Y44" s="70">
        <f>Inputs!$B$52</f>
        <v>100000</v>
      </c>
      <c r="Z44" s="70">
        <f t="shared" si="16"/>
        <v>1200000</v>
      </c>
      <c r="AA44" s="70">
        <f t="shared" si="17"/>
        <v>1200000</v>
      </c>
    </row>
    <row r="45" outlineLevel="1">
      <c r="A45" s="12" t="s">
        <v>530</v>
      </c>
      <c r="B45" s="71">
        <f t="shared" ref="B45:Y45" si="21">SUM(B40:B44)</f>
        <v>591458.9928</v>
      </c>
      <c r="C45" s="71">
        <f t="shared" si="21"/>
        <v>626654.9163</v>
      </c>
      <c r="D45" s="71">
        <f t="shared" si="21"/>
        <v>672997.1293</v>
      </c>
      <c r="E45" s="71">
        <f t="shared" si="21"/>
        <v>710075.9378</v>
      </c>
      <c r="F45" s="71">
        <f t="shared" si="21"/>
        <v>724008.428</v>
      </c>
      <c r="G45" s="71">
        <f t="shared" si="21"/>
        <v>734404.1262</v>
      </c>
      <c r="H45" s="71">
        <f t="shared" si="21"/>
        <v>728509.6738</v>
      </c>
      <c r="I45" s="71">
        <f t="shared" si="21"/>
        <v>723216.2545</v>
      </c>
      <c r="J45" s="71">
        <f t="shared" si="21"/>
        <v>718018.7894</v>
      </c>
      <c r="K45" s="71">
        <f t="shared" si="21"/>
        <v>712913.7279</v>
      </c>
      <c r="L45" s="71">
        <f t="shared" si="21"/>
        <v>707897.6531</v>
      </c>
      <c r="M45" s="71">
        <f t="shared" si="21"/>
        <v>695428.3644</v>
      </c>
      <c r="N45" s="71">
        <f t="shared" si="21"/>
        <v>757202.7717</v>
      </c>
      <c r="O45" s="71">
        <f t="shared" si="21"/>
        <v>779274.2586</v>
      </c>
      <c r="P45" s="71">
        <f t="shared" si="21"/>
        <v>806067.056</v>
      </c>
      <c r="Q45" s="71">
        <f t="shared" si="21"/>
        <v>815947.9439</v>
      </c>
      <c r="R45" s="71">
        <f t="shared" si="21"/>
        <v>810912.2746</v>
      </c>
      <c r="S45" s="71">
        <f t="shared" si="21"/>
        <v>805855.3684</v>
      </c>
      <c r="T45" s="71">
        <f t="shared" si="21"/>
        <v>801648.5457</v>
      </c>
      <c r="U45" s="71">
        <f t="shared" si="21"/>
        <v>788047.0109</v>
      </c>
      <c r="V45" s="71">
        <f t="shared" si="21"/>
        <v>774762.2454</v>
      </c>
      <c r="W45" s="71">
        <f t="shared" si="21"/>
        <v>763556.7578</v>
      </c>
      <c r="X45" s="71">
        <f t="shared" si="21"/>
        <v>752619.7727</v>
      </c>
      <c r="Y45" s="71">
        <f t="shared" si="21"/>
        <v>744728.2193</v>
      </c>
      <c r="Z45" s="71">
        <f t="shared" si="16"/>
        <v>8345583.993</v>
      </c>
      <c r="AA45" s="71">
        <f t="shared" si="17"/>
        <v>9400622.225</v>
      </c>
    </row>
    <row r="46" outlineLevel="1">
      <c r="A46" s="6" t="s">
        <v>531</v>
      </c>
      <c r="B46" s="70">
        <f t="shared" ref="B46:Y46" si="22">B28+B29+B30</f>
        <v>403540.6858</v>
      </c>
      <c r="C46" s="70">
        <f t="shared" si="22"/>
        <v>396112.9646</v>
      </c>
      <c r="D46" s="70">
        <f t="shared" si="22"/>
        <v>453964.3829</v>
      </c>
      <c r="E46" s="70">
        <f t="shared" si="22"/>
        <v>508146.0855</v>
      </c>
      <c r="F46" s="70">
        <f t="shared" si="22"/>
        <v>497450.5767</v>
      </c>
      <c r="G46" s="70">
        <f t="shared" si="22"/>
        <v>519567.7833</v>
      </c>
      <c r="H46" s="70">
        <f t="shared" si="22"/>
        <v>540018.712</v>
      </c>
      <c r="I46" s="70">
        <f t="shared" si="22"/>
        <v>562303.3879</v>
      </c>
      <c r="J46" s="70">
        <f t="shared" si="22"/>
        <v>583953.8866</v>
      </c>
      <c r="K46" s="70">
        <f t="shared" si="22"/>
        <v>604981.435</v>
      </c>
      <c r="L46" s="70">
        <f t="shared" si="22"/>
        <v>625397.1249</v>
      </c>
      <c r="M46" s="70">
        <f t="shared" si="22"/>
        <v>612902.2854</v>
      </c>
      <c r="N46" s="70">
        <f t="shared" si="22"/>
        <v>600686.6199</v>
      </c>
      <c r="O46" s="70">
        <f t="shared" si="22"/>
        <v>588743.2754</v>
      </c>
      <c r="P46" s="70">
        <f t="shared" si="22"/>
        <v>609631.0028</v>
      </c>
      <c r="Q46" s="70">
        <f t="shared" si="22"/>
        <v>628870.4886</v>
      </c>
      <c r="R46" s="70">
        <f t="shared" si="22"/>
        <v>660412.4837</v>
      </c>
      <c r="S46" s="70">
        <f t="shared" si="22"/>
        <v>690613.4896</v>
      </c>
      <c r="T46" s="70">
        <f t="shared" si="22"/>
        <v>719511.2907</v>
      </c>
      <c r="U46" s="70">
        <f t="shared" si="22"/>
        <v>705001.2207</v>
      </c>
      <c r="V46" s="70">
        <f t="shared" si="22"/>
        <v>690813.5875</v>
      </c>
      <c r="W46" s="70">
        <f t="shared" si="22"/>
        <v>676940.5894</v>
      </c>
      <c r="X46" s="70">
        <f t="shared" si="22"/>
        <v>663374.6265</v>
      </c>
      <c r="Y46" s="70">
        <f t="shared" si="22"/>
        <v>650108.2947</v>
      </c>
      <c r="Z46" s="70">
        <f t="shared" si="16"/>
        <v>6308339.311</v>
      </c>
      <c r="AA46" s="70">
        <f t="shared" si="17"/>
        <v>7884706.969</v>
      </c>
    </row>
    <row r="47" outlineLevel="1">
      <c r="A47" s="6" t="s">
        <v>532</v>
      </c>
      <c r="B47" s="70">
        <f>ARR!B79-Inputs!$B$8</f>
        <v>420790.6858</v>
      </c>
      <c r="C47" s="70">
        <f>ARR!C79-ARR!B79</f>
        <v>414785.4461</v>
      </c>
      <c r="D47" s="70">
        <f>ARR!D79-ARR!C79</f>
        <v>474051.6516</v>
      </c>
      <c r="E47" s="70">
        <f>ARR!E79-ARR!D79</f>
        <v>529369.1159</v>
      </c>
      <c r="F47" s="70">
        <f>ARR!F79-ARR!E79</f>
        <v>519547.4192</v>
      </c>
      <c r="G47" s="70">
        <f>ARR!G79-ARR!F79</f>
        <v>542548.5144</v>
      </c>
      <c r="H47" s="70">
        <f>ARR!H79-ARR!G79</f>
        <v>563757.249</v>
      </c>
      <c r="I47" s="70">
        <f>ARR!I79-ARR!H79</f>
        <v>586681.7095</v>
      </c>
      <c r="J47" s="70">
        <f>ARR!J79-ARR!I79</f>
        <v>609160.0644</v>
      </c>
      <c r="K47" s="70">
        <f>ARR!K79-ARR!J79</f>
        <v>631199.125</v>
      </c>
      <c r="L47" s="70">
        <f>ARR!L79-ARR!K79</f>
        <v>652805.6649</v>
      </c>
      <c r="M47" s="70">
        <f>ARR!M79-ARR!L79</f>
        <v>641676.7911</v>
      </c>
      <c r="N47" s="70">
        <f>ARR!N79-ARR!M79</f>
        <v>630836.5305</v>
      </c>
      <c r="O47" s="70">
        <f>ARR!O79-ARR!N79</f>
        <v>620277.5319</v>
      </c>
      <c r="P47" s="70">
        <f>ARR!P79-ARR!O79</f>
        <v>642558.0681</v>
      </c>
      <c r="Q47" s="70">
        <f>ARR!Q79-ARR!P79</f>
        <v>663062.6771</v>
      </c>
      <c r="R47" s="70">
        <f>ARR!R79-ARR!Q79</f>
        <v>695750.1826</v>
      </c>
      <c r="S47" s="70">
        <f>ARR!S79-ARR!R79</f>
        <v>727298.3134</v>
      </c>
      <c r="T47" s="70">
        <f>ARR!T79-ARR!S79</f>
        <v>757738.119</v>
      </c>
      <c r="U47" s="70">
        <f>ARR!U79-ARR!T79</f>
        <v>744958.386</v>
      </c>
      <c r="V47" s="70">
        <f>ARR!V79-ARR!U79</f>
        <v>732507.4693</v>
      </c>
      <c r="W47" s="70">
        <f>ARR!W79-ARR!V79</f>
        <v>720377.1212</v>
      </c>
      <c r="X47" s="70">
        <f>ARR!X79-ARR!W79</f>
        <v>708559.3151</v>
      </c>
      <c r="Y47" s="70">
        <f>ARR!Y79-ARR!X79</f>
        <v>697046.2394</v>
      </c>
      <c r="Z47" s="70">
        <f t="shared" si="16"/>
        <v>6586373.437</v>
      </c>
      <c r="AA47" s="70">
        <f t="shared" si="17"/>
        <v>8340969.953</v>
      </c>
    </row>
    <row r="48">
      <c r="A48" s="3"/>
    </row>
    <row r="49">
      <c r="A49" s="79" t="s">
        <v>533</v>
      </c>
      <c r="B49" s="80"/>
      <c r="C49" s="80"/>
      <c r="D49" s="80"/>
      <c r="E49" s="80"/>
      <c r="F49" s="80"/>
      <c r="G49" s="80"/>
      <c r="H49" s="80"/>
      <c r="I49" s="80"/>
      <c r="J49" s="80"/>
      <c r="K49" s="80"/>
      <c r="L49" s="80"/>
      <c r="M49" s="80"/>
      <c r="N49" s="80"/>
      <c r="O49" s="80"/>
      <c r="P49" s="80"/>
      <c r="Q49" s="80"/>
      <c r="R49" s="80"/>
      <c r="S49" s="80"/>
      <c r="T49" s="80"/>
      <c r="U49" s="80"/>
      <c r="V49" s="80"/>
      <c r="W49" s="80"/>
      <c r="X49" s="80"/>
      <c r="Y49" s="80"/>
      <c r="Z49" s="80"/>
      <c r="AA49" s="80"/>
    </row>
    <row r="50" outlineLevel="1">
      <c r="A50" s="6" t="s">
        <v>507</v>
      </c>
      <c r="B50" s="75">
        <f>Capacity!B19+Capacity!B18</f>
        <v>6</v>
      </c>
      <c r="C50" s="75">
        <f>Capacity!C19+Capacity!C18</f>
        <v>5.941428939</v>
      </c>
      <c r="D50" s="75">
        <f>Capacity!D19+Capacity!D18</f>
        <v>5.767431042</v>
      </c>
      <c r="E50" s="75">
        <f>Capacity!E19+Capacity!E18</f>
        <v>7.598528765</v>
      </c>
      <c r="F50" s="75">
        <f>Capacity!F19+Capacity!F18</f>
        <v>7.43457288</v>
      </c>
      <c r="G50" s="75">
        <f>Capacity!G19+Capacity!G18</f>
        <v>7.21684747</v>
      </c>
      <c r="H50" s="75">
        <f>Capacity!H19+Capacity!H18</f>
        <v>7.005498265</v>
      </c>
      <c r="I50" s="75">
        <f>Capacity!I19+Capacity!I18</f>
        <v>6.800338532</v>
      </c>
      <c r="J50" s="75">
        <f>Capacity!J19+Capacity!J18</f>
        <v>6.601187012</v>
      </c>
      <c r="K50" s="75">
        <f>Capacity!K19+Capacity!K18</f>
        <v>6.407867749</v>
      </c>
      <c r="L50" s="75">
        <f>Capacity!L19+Capacity!L18</f>
        <v>6.220209943</v>
      </c>
      <c r="M50" s="75">
        <f>Capacity!M19+Capacity!M18</f>
        <v>6.038047796</v>
      </c>
      <c r="N50" s="75">
        <f>Capacity!N19+Capacity!N18</f>
        <v>7.861220364</v>
      </c>
      <c r="O50" s="75">
        <f>Capacity!O19+Capacity!O18</f>
        <v>7.689571417</v>
      </c>
      <c r="P50" s="75">
        <f>Capacity!P19+Capacity!P18</f>
        <v>7.46437824</v>
      </c>
      <c r="Q50" s="75">
        <f>Capacity!Q19+Capacity!Q18</f>
        <v>7.245779964</v>
      </c>
      <c r="R50" s="75">
        <f>Capacity!R19+Capacity!R18</f>
        <v>7.033583455</v>
      </c>
      <c r="S50" s="75">
        <f>Capacity!S19+Capacity!S18</f>
        <v>6.827601233</v>
      </c>
      <c r="T50" s="75">
        <f>Capacity!T19+Capacity!T18</f>
        <v>6.62765131</v>
      </c>
      <c r="U50" s="75">
        <f>Capacity!U19+Capacity!U18</f>
        <v>6.433557026</v>
      </c>
      <c r="V50" s="75">
        <f>Capacity!V19+Capacity!V18</f>
        <v>6.245146896</v>
      </c>
      <c r="W50" s="75">
        <f>Capacity!W19+Capacity!W18</f>
        <v>6.062254457</v>
      </c>
      <c r="X50" s="75">
        <f>Capacity!X19+Capacity!X18</f>
        <v>5.88471812</v>
      </c>
      <c r="Y50" s="75">
        <f>Capacity!Y19+Capacity!Y18</f>
        <v>5.712381029</v>
      </c>
      <c r="Z50" s="75"/>
      <c r="AA50" s="75"/>
    </row>
    <row r="51" outlineLevel="1">
      <c r="A51" s="6" t="s">
        <v>508</v>
      </c>
      <c r="B51" s="75">
        <f>Capacity!B44+Capacity!B43</f>
        <v>4</v>
      </c>
      <c r="C51" s="75">
        <f>Capacity!C44+Capacity!C43</f>
        <v>3.926306119</v>
      </c>
      <c r="D51" s="75">
        <f>Capacity!D44+Capacity!D43</f>
        <v>3.853969936</v>
      </c>
      <c r="E51" s="75">
        <f>Capacity!E44+Capacity!E43</f>
        <v>3.782966436</v>
      </c>
      <c r="F51" s="75">
        <f>Capacity!F44+Capacity!F43</f>
        <v>3.713271067</v>
      </c>
      <c r="G51" s="75">
        <f>Capacity!G44+Capacity!G43</f>
        <v>3.644859728</v>
      </c>
      <c r="H51" s="75">
        <f>Capacity!H44+Capacity!H43</f>
        <v>3.577708764</v>
      </c>
      <c r="I51" s="75">
        <f>Capacity!I44+Capacity!I43</f>
        <v>3.511794953</v>
      </c>
      <c r="J51" s="75">
        <f>Capacity!J44+Capacity!J43</f>
        <v>3.447095504</v>
      </c>
      <c r="K51" s="75">
        <f>Capacity!K44+Capacity!K43</f>
        <v>3.383588043</v>
      </c>
      <c r="L51" s="75">
        <f>Capacity!L44+Capacity!L43</f>
        <v>3.32125061</v>
      </c>
      <c r="M51" s="75">
        <f>Capacity!M44+Capacity!M43</f>
        <v>3.260061648</v>
      </c>
      <c r="N51" s="75">
        <f>Capacity!N44+Capacity!N43</f>
        <v>6.2</v>
      </c>
      <c r="O51" s="75">
        <f>Capacity!O44+Capacity!O43</f>
        <v>6.141044896</v>
      </c>
      <c r="P51" s="75">
        <f>Capacity!P44+Capacity!P43</f>
        <v>6.027905538</v>
      </c>
      <c r="Q51" s="75">
        <f>Capacity!Q44+Capacity!Q43</f>
        <v>5.916850601</v>
      </c>
      <c r="R51" s="75">
        <f>Capacity!R44+Capacity!R43</f>
        <v>5.807841681</v>
      </c>
      <c r="S51" s="75">
        <f>Capacity!S44+Capacity!S43</f>
        <v>5.700841083</v>
      </c>
      <c r="T51" s="75">
        <f>Capacity!T44+Capacity!T43</f>
        <v>5.595811807</v>
      </c>
      <c r="U51" s="75">
        <f>Capacity!U44+Capacity!U43</f>
        <v>5.492717536</v>
      </c>
      <c r="V51" s="75">
        <f>Capacity!V44+Capacity!V43</f>
        <v>5.391522618</v>
      </c>
      <c r="W51" s="75">
        <f>Capacity!W44+Capacity!W43</f>
        <v>5.292192062</v>
      </c>
      <c r="X51" s="75">
        <f>Capacity!X44+Capacity!X43</f>
        <v>5.19469152</v>
      </c>
      <c r="Y51" s="75">
        <f>Capacity!Y44+Capacity!Y43</f>
        <v>5.098987276</v>
      </c>
      <c r="Z51" s="75"/>
      <c r="AA51" s="75"/>
    </row>
    <row r="52" outlineLevel="1">
      <c r="A52" s="6" t="s">
        <v>509</v>
      </c>
      <c r="B52" s="75">
        <f>Capacity!B69+Capacity!B68</f>
        <v>4</v>
      </c>
      <c r="C52" s="75">
        <f>Capacity!C69+Capacity!C68</f>
        <v>3.973096106</v>
      </c>
      <c r="D52" s="75">
        <f>Capacity!D69+Capacity!D68</f>
        <v>3.919650228</v>
      </c>
      <c r="E52" s="75">
        <f>Capacity!E69+Capacity!E68</f>
        <v>3.866923301</v>
      </c>
      <c r="F52" s="75">
        <f>Capacity!F69+Capacity!F68</f>
        <v>3.814905653</v>
      </c>
      <c r="G52" s="75">
        <f>Capacity!G69+Capacity!G68</f>
        <v>3.763587744</v>
      </c>
      <c r="H52" s="75">
        <f>Capacity!H69+Capacity!H68</f>
        <v>3.712960162</v>
      </c>
      <c r="I52" s="75">
        <f>Capacity!I69+Capacity!I68</f>
        <v>3.663013618</v>
      </c>
      <c r="J52" s="75">
        <f>Capacity!J69+Capacity!J68</f>
        <v>3.613738953</v>
      </c>
      <c r="K52" s="75">
        <f>Capacity!K69+Capacity!K68</f>
        <v>3.565127128</v>
      </c>
      <c r="L52" s="75">
        <f>Capacity!L69+Capacity!L68</f>
        <v>3.517169227</v>
      </c>
      <c r="M52" s="75">
        <f>Capacity!M69+Capacity!M68</f>
        <v>3.469856453</v>
      </c>
      <c r="N52" s="75">
        <f>Capacity!N69+Capacity!N68</f>
        <v>3.423180128</v>
      </c>
      <c r="O52" s="75">
        <f>Capacity!O69+Capacity!O68</f>
        <v>3.37713169</v>
      </c>
      <c r="P52" s="75">
        <f>Capacity!P69+Capacity!P68</f>
        <v>3.331702694</v>
      </c>
      <c r="Q52" s="75">
        <f>Capacity!Q69+Capacity!Q68</f>
        <v>3.286884805</v>
      </c>
      <c r="R52" s="75">
        <f>Capacity!R69+Capacity!R68</f>
        <v>3.242669805</v>
      </c>
      <c r="S52" s="75">
        <f>Capacity!S69+Capacity!S68</f>
        <v>3.199049583</v>
      </c>
      <c r="T52" s="75">
        <f>Capacity!T69+Capacity!T68</f>
        <v>3.156016137</v>
      </c>
      <c r="U52" s="75">
        <f>Capacity!U69+Capacity!U68</f>
        <v>3.113561575</v>
      </c>
      <c r="V52" s="75">
        <f>Capacity!V69+Capacity!V68</f>
        <v>3.07167811</v>
      </c>
      <c r="W52" s="75">
        <f>Capacity!W69+Capacity!W68</f>
        <v>3.030358059</v>
      </c>
      <c r="X52" s="75">
        <f>Capacity!X69+Capacity!X68</f>
        <v>2.989593843</v>
      </c>
      <c r="Y52" s="75">
        <f>Capacity!Y69+Capacity!Y68</f>
        <v>2.949377985</v>
      </c>
      <c r="Z52" s="75"/>
      <c r="AA52" s="75"/>
    </row>
    <row r="53" outlineLevel="1">
      <c r="A53" s="6" t="s">
        <v>510</v>
      </c>
      <c r="B53" s="70">
        <f>B50*'Rep capacity'!$B$24</f>
        <v>35937.5</v>
      </c>
      <c r="C53" s="70">
        <f>C50*'Rep capacity'!$B$24</f>
        <v>35586.68375</v>
      </c>
      <c r="D53" s="70">
        <f>D50*'Rep capacity'!$B$24</f>
        <v>34544.50884</v>
      </c>
      <c r="E53" s="70">
        <f>E50*'Rep capacity'!$B$24</f>
        <v>45512.02125</v>
      </c>
      <c r="F53" s="70">
        <f>F50*'Rep capacity'!$B$24</f>
        <v>44529.99381</v>
      </c>
      <c r="G53" s="70">
        <f>G50*'Rep capacity'!$B$24</f>
        <v>43225.90933</v>
      </c>
      <c r="H53" s="70">
        <f>H50*'Rep capacity'!$B$24</f>
        <v>41960.01565</v>
      </c>
      <c r="I53" s="70">
        <f>I50*'Rep capacity'!$B$24</f>
        <v>40731.19433</v>
      </c>
      <c r="J53" s="70">
        <f>J50*'Rep capacity'!$B$24</f>
        <v>39538.35971</v>
      </c>
      <c r="K53" s="70">
        <f>K50*'Rep capacity'!$B$24</f>
        <v>38380.45787</v>
      </c>
      <c r="L53" s="70">
        <f>L50*'Rep capacity'!$B$24</f>
        <v>37256.46581</v>
      </c>
      <c r="M53" s="70">
        <f>M50*'Rep capacity'!$B$24</f>
        <v>36165.39045</v>
      </c>
      <c r="N53" s="70">
        <f>N50*'Rep capacity'!$B$24</f>
        <v>47085.43447</v>
      </c>
      <c r="O53" s="70">
        <f>O50*'Rep capacity'!$B$24</f>
        <v>46057.3288</v>
      </c>
      <c r="P53" s="70">
        <f>P50*'Rep capacity'!$B$24</f>
        <v>44708.5155</v>
      </c>
      <c r="Q53" s="70">
        <f>Q50*'Rep capacity'!$B$24</f>
        <v>43399.20291</v>
      </c>
      <c r="R53" s="70">
        <f>R50*'Rep capacity'!$B$24</f>
        <v>42128.23423</v>
      </c>
      <c r="S53" s="70">
        <f>S50*'Rep capacity'!$B$24</f>
        <v>40894.48655</v>
      </c>
      <c r="T53" s="70">
        <f>T50*'Rep capacity'!$B$24</f>
        <v>39696.86982</v>
      </c>
      <c r="U53" s="70">
        <f>U50*'Rep capacity'!$B$24</f>
        <v>38534.32594</v>
      </c>
      <c r="V53" s="70">
        <f>V50*'Rep capacity'!$B$24</f>
        <v>37405.82776</v>
      </c>
      <c r="W53" s="70">
        <f>W50*'Rep capacity'!$B$24</f>
        <v>36310.37826</v>
      </c>
      <c r="X53" s="70">
        <f>X50*'Rep capacity'!$B$24</f>
        <v>35247.00957</v>
      </c>
      <c r="Y53" s="70">
        <f>Y50*'Rep capacity'!$B$24</f>
        <v>34214.7822</v>
      </c>
      <c r="Z53" s="70">
        <f t="shared" ref="Z53:Z75" si="23">SUM(B53:M53)</f>
        <v>473368.5008</v>
      </c>
      <c r="AA53" s="70">
        <f t="shared" ref="AA53:AA75" si="24">SUM(N53:Y53)</f>
        <v>485682.396</v>
      </c>
    </row>
    <row r="54" outlineLevel="1">
      <c r="A54" s="6" t="s">
        <v>511</v>
      </c>
      <c r="B54" s="70">
        <f>B51*'Rep capacity'!$C$24</f>
        <v>33333.33333</v>
      </c>
      <c r="C54" s="70">
        <f>C51*'Rep capacity'!$C$24</f>
        <v>32719.21766</v>
      </c>
      <c r="D54" s="70">
        <f>D51*'Rep capacity'!$C$24</f>
        <v>32116.41613</v>
      </c>
      <c r="E54" s="70">
        <f>E51*'Rep capacity'!$C$24</f>
        <v>31524.7203</v>
      </c>
      <c r="F54" s="70">
        <f>F51*'Rep capacity'!$C$24</f>
        <v>30943.92556</v>
      </c>
      <c r="G54" s="70">
        <f>G51*'Rep capacity'!$C$24</f>
        <v>30373.83107</v>
      </c>
      <c r="H54" s="70">
        <f>H51*'Rep capacity'!$C$24</f>
        <v>29814.2397</v>
      </c>
      <c r="I54" s="70">
        <f>I51*'Rep capacity'!$C$24</f>
        <v>29264.95795</v>
      </c>
      <c r="J54" s="70">
        <f>J51*'Rep capacity'!$C$24</f>
        <v>28725.79587</v>
      </c>
      <c r="K54" s="70">
        <f>K51*'Rep capacity'!$C$24</f>
        <v>28196.56703</v>
      </c>
      <c r="L54" s="70">
        <f>L51*'Rep capacity'!$C$24</f>
        <v>27677.08841</v>
      </c>
      <c r="M54" s="70">
        <f>M51*'Rep capacity'!$C$24</f>
        <v>27167.1804</v>
      </c>
      <c r="N54" s="70">
        <f>N51*'Rep capacity'!$C$24</f>
        <v>51666.66667</v>
      </c>
      <c r="O54" s="70">
        <f>O51*'Rep capacity'!$C$24</f>
        <v>51175.37413</v>
      </c>
      <c r="P54" s="70">
        <f>P51*'Rep capacity'!$C$24</f>
        <v>50232.54615</v>
      </c>
      <c r="Q54" s="70">
        <f>Q51*'Rep capacity'!$C$24</f>
        <v>49307.08834</v>
      </c>
      <c r="R54" s="70">
        <f>R51*'Rep capacity'!$C$24</f>
        <v>48398.68067</v>
      </c>
      <c r="S54" s="70">
        <f>S51*'Rep capacity'!$C$24</f>
        <v>47507.00902</v>
      </c>
      <c r="T54" s="70">
        <f>T51*'Rep capacity'!$C$24</f>
        <v>46631.76506</v>
      </c>
      <c r="U54" s="70">
        <f>U51*'Rep capacity'!$C$24</f>
        <v>45772.64613</v>
      </c>
      <c r="V54" s="70">
        <f>V51*'Rep capacity'!$C$24</f>
        <v>44929.35515</v>
      </c>
      <c r="W54" s="70">
        <f>W51*'Rep capacity'!$C$24</f>
        <v>44101.60052</v>
      </c>
      <c r="X54" s="70">
        <f>X51*'Rep capacity'!$C$24</f>
        <v>43289.096</v>
      </c>
      <c r="Y54" s="70">
        <f>Y51*'Rep capacity'!$C$24</f>
        <v>42491.56063</v>
      </c>
      <c r="Z54" s="70">
        <f t="shared" si="23"/>
        <v>361857.2734</v>
      </c>
      <c r="AA54" s="70">
        <f t="shared" si="24"/>
        <v>565503.3885</v>
      </c>
    </row>
    <row r="55" outlineLevel="1">
      <c r="A55" s="6" t="s">
        <v>512</v>
      </c>
      <c r="B55" s="70">
        <f>B52*'Rep capacity'!$D$24</f>
        <v>58333.33333</v>
      </c>
      <c r="C55" s="70">
        <f>C52*'Rep capacity'!$D$24</f>
        <v>57940.98488</v>
      </c>
      <c r="D55" s="70">
        <f>D52*'Rep capacity'!$D$24</f>
        <v>57161.56582</v>
      </c>
      <c r="E55" s="70">
        <f>E52*'Rep capacity'!$D$24</f>
        <v>56392.63147</v>
      </c>
      <c r="F55" s="70">
        <f>F52*'Rep capacity'!$D$24</f>
        <v>55634.04078</v>
      </c>
      <c r="G55" s="70">
        <f>G52*'Rep capacity'!$D$24</f>
        <v>54885.65461</v>
      </c>
      <c r="H55" s="70">
        <f>H52*'Rep capacity'!$D$24</f>
        <v>54147.33569</v>
      </c>
      <c r="I55" s="70">
        <f>I52*'Rep capacity'!$D$24</f>
        <v>53418.9486</v>
      </c>
      <c r="J55" s="70">
        <f>J52*'Rep capacity'!$D$24</f>
        <v>52700.35973</v>
      </c>
      <c r="K55" s="70">
        <f>K52*'Rep capacity'!$D$24</f>
        <v>51991.43729</v>
      </c>
      <c r="L55" s="70">
        <f>L52*'Rep capacity'!$D$24</f>
        <v>51292.05123</v>
      </c>
      <c r="M55" s="70">
        <f>M52*'Rep capacity'!$D$24</f>
        <v>50602.07327</v>
      </c>
      <c r="N55" s="70">
        <f>N52*'Rep capacity'!$D$24</f>
        <v>49921.37686</v>
      </c>
      <c r="O55" s="70">
        <f>O52*'Rep capacity'!$D$24</f>
        <v>49249.83715</v>
      </c>
      <c r="P55" s="70">
        <f>P52*'Rep capacity'!$D$24</f>
        <v>48587.33095</v>
      </c>
      <c r="Q55" s="70">
        <f>Q52*'Rep capacity'!$D$24</f>
        <v>47933.73675</v>
      </c>
      <c r="R55" s="70">
        <f>R52*'Rep capacity'!$D$24</f>
        <v>47288.93466</v>
      </c>
      <c r="S55" s="70">
        <f>S52*'Rep capacity'!$D$24</f>
        <v>46652.80642</v>
      </c>
      <c r="T55" s="70">
        <f>T52*'Rep capacity'!$D$24</f>
        <v>46025.23534</v>
      </c>
      <c r="U55" s="70">
        <f>U52*'Rep capacity'!$D$24</f>
        <v>45406.10631</v>
      </c>
      <c r="V55" s="70">
        <f>V52*'Rep capacity'!$D$24</f>
        <v>44795.30577</v>
      </c>
      <c r="W55" s="70">
        <f>W52*'Rep capacity'!$D$24</f>
        <v>44192.72169</v>
      </c>
      <c r="X55" s="70">
        <f>X52*'Rep capacity'!$D$24</f>
        <v>43598.24354</v>
      </c>
      <c r="Y55" s="70">
        <f>Y52*'Rep capacity'!$D$24</f>
        <v>43011.76228</v>
      </c>
      <c r="Z55" s="70">
        <f t="shared" si="23"/>
        <v>654500.4167</v>
      </c>
      <c r="AA55" s="70">
        <f t="shared" si="24"/>
        <v>556663.3977</v>
      </c>
    </row>
    <row r="56" outlineLevel="1">
      <c r="A56" s="6" t="s">
        <v>534</v>
      </c>
      <c r="B56" s="70">
        <f>ARR!B39</f>
        <v>67095.78414</v>
      </c>
      <c r="C56" s="70">
        <f>ARR!C39</f>
        <v>65130.84852</v>
      </c>
      <c r="D56" s="70">
        <f>ARR!D39</f>
        <v>128354.3056</v>
      </c>
      <c r="E56" s="70">
        <f>ARR!E39</f>
        <v>187818.8387</v>
      </c>
      <c r="F56" s="70">
        <f>ARR!F39</f>
        <v>182318.4644</v>
      </c>
      <c r="G56" s="70">
        <f>ARR!G39</f>
        <v>209544.5958</v>
      </c>
      <c r="H56" s="70">
        <f>ARR!H39</f>
        <v>235019.6997</v>
      </c>
      <c r="I56" s="70">
        <f>ARR!I39</f>
        <v>228137.0231</v>
      </c>
      <c r="J56" s="70">
        <f>ARR!J39</f>
        <v>221455.9094</v>
      </c>
      <c r="K56" s="70">
        <f>ARR!K39</f>
        <v>214970.4556</v>
      </c>
      <c r="L56" s="70">
        <f>ARR!L39</f>
        <v>208674.9318</v>
      </c>
      <c r="M56" s="70">
        <f>ARR!M39</f>
        <v>202563.7758</v>
      </c>
      <c r="N56" s="70">
        <f>ARR!N39</f>
        <v>196631.5882</v>
      </c>
      <c r="O56" s="70">
        <f>ARR!O39</f>
        <v>190873.1278</v>
      </c>
      <c r="P56" s="70">
        <f>ARR!P39</f>
        <v>217848.7313</v>
      </c>
      <c r="Q56" s="70">
        <f>ARR!Q39</f>
        <v>243080.6442</v>
      </c>
      <c r="R56" s="70">
        <f>ARR!R39</f>
        <v>235961.8986</v>
      </c>
      <c r="S56" s="70">
        <f>ARR!S39</f>
        <v>229051.6293</v>
      </c>
      <c r="T56" s="70">
        <f>ARR!T39</f>
        <v>222343.7308</v>
      </c>
      <c r="U56" s="70">
        <f>ARR!U39</f>
        <v>215832.2767</v>
      </c>
      <c r="V56" s="70">
        <f>ARR!V39</f>
        <v>209511.514</v>
      </c>
      <c r="W56" s="70">
        <f>ARR!W39</f>
        <v>203375.8582</v>
      </c>
      <c r="X56" s="70">
        <f>ARR!X39</f>
        <v>197419.8883</v>
      </c>
      <c r="Y56" s="70">
        <f>ARR!Y39</f>
        <v>191638.3422</v>
      </c>
      <c r="Z56" s="70">
        <f t="shared" si="23"/>
        <v>2151084.633</v>
      </c>
      <c r="AA56" s="70">
        <f t="shared" si="24"/>
        <v>2553569.23</v>
      </c>
    </row>
    <row r="57" outlineLevel="1">
      <c r="A57" s="6" t="s">
        <v>535</v>
      </c>
      <c r="B57" s="70">
        <f>ARR!B50</f>
        <v>188462.6937</v>
      </c>
      <c r="C57" s="70">
        <f>ARR!C50</f>
        <v>184990.5569</v>
      </c>
      <c r="D57" s="70">
        <f>ARR!D50</f>
        <v>181582.3889</v>
      </c>
      <c r="E57" s="70">
        <f>ARR!E50</f>
        <v>178237.0112</v>
      </c>
      <c r="F57" s="70">
        <f>ARR!F50</f>
        <v>174953.267</v>
      </c>
      <c r="G57" s="70">
        <f>ARR!G50</f>
        <v>171730.0207</v>
      </c>
      <c r="H57" s="70">
        <f>ARR!H50</f>
        <v>168566.1578</v>
      </c>
      <c r="I57" s="70">
        <f>ARR!I50</f>
        <v>165460.5842</v>
      </c>
      <c r="J57" s="70">
        <f>ARR!J50</f>
        <v>162412.2261</v>
      </c>
      <c r="K57" s="70">
        <f>ARR!K50</f>
        <v>159420.0293</v>
      </c>
      <c r="L57" s="70">
        <f>ARR!L50</f>
        <v>156482.9591</v>
      </c>
      <c r="M57" s="70">
        <f>ARR!M50</f>
        <v>153600</v>
      </c>
      <c r="N57" s="70">
        <f>ARR!N50</f>
        <v>150770.155</v>
      </c>
      <c r="O57" s="70">
        <f>ARR!O50</f>
        <v>147992.4455</v>
      </c>
      <c r="P57" s="70">
        <f>ARR!P50</f>
        <v>145265.9111</v>
      </c>
      <c r="Q57" s="70">
        <f>ARR!Q50</f>
        <v>142589.609</v>
      </c>
      <c r="R57" s="70">
        <f>ARR!R50</f>
        <v>184521.8664</v>
      </c>
      <c r="S57" s="70">
        <f>ARR!S50</f>
        <v>224860.65</v>
      </c>
      <c r="T57" s="70">
        <f>ARR!T50</f>
        <v>263650.4417</v>
      </c>
      <c r="U57" s="70">
        <f>ARR!U50</f>
        <v>258793.0857</v>
      </c>
      <c r="V57" s="70">
        <f>ARR!V50</f>
        <v>254025.219</v>
      </c>
      <c r="W57" s="70">
        <f>ARR!W50</f>
        <v>249345.193</v>
      </c>
      <c r="X57" s="70">
        <f>ARR!X50</f>
        <v>244751.3893</v>
      </c>
      <c r="Y57" s="70">
        <f>ARR!Y50</f>
        <v>240242.2193</v>
      </c>
      <c r="Z57" s="70">
        <f t="shared" si="23"/>
        <v>2045897.895</v>
      </c>
      <c r="AA57" s="70">
        <f t="shared" si="24"/>
        <v>2506808.185</v>
      </c>
    </row>
    <row r="58" outlineLevel="1">
      <c r="A58" s="6" t="s">
        <v>536</v>
      </c>
      <c r="B58" s="70">
        <f>ARR!B61</f>
        <v>147982.2079</v>
      </c>
      <c r="C58" s="70">
        <f>ARR!C61</f>
        <v>145991.5591</v>
      </c>
      <c r="D58" s="70">
        <f>ARR!D61</f>
        <v>144027.6884</v>
      </c>
      <c r="E58" s="70">
        <f>ARR!E61</f>
        <v>142090.2356</v>
      </c>
      <c r="F58" s="70">
        <f>ARR!F61</f>
        <v>140178.8453</v>
      </c>
      <c r="G58" s="70">
        <f>ARR!G61</f>
        <v>138293.1669</v>
      </c>
      <c r="H58" s="70">
        <f>ARR!H61</f>
        <v>136432.8545</v>
      </c>
      <c r="I58" s="70">
        <f>ARR!I61</f>
        <v>168705.7806</v>
      </c>
      <c r="J58" s="70">
        <f>ARR!J61</f>
        <v>200085.7511</v>
      </c>
      <c r="K58" s="70">
        <f>ARR!K61</f>
        <v>230590.9501</v>
      </c>
      <c r="L58" s="70">
        <f>ARR!L61</f>
        <v>260239.234</v>
      </c>
      <c r="M58" s="70">
        <f>ARR!M61</f>
        <v>256738.5096</v>
      </c>
      <c r="N58" s="70">
        <f>ARR!N61</f>
        <v>253284.8768</v>
      </c>
      <c r="O58" s="70">
        <f>ARR!O61</f>
        <v>249877.702</v>
      </c>
      <c r="P58" s="70">
        <f>ARR!P61</f>
        <v>246516.3604</v>
      </c>
      <c r="Q58" s="70">
        <f>ARR!Q61</f>
        <v>243200.2354</v>
      </c>
      <c r="R58" s="70">
        <f>ARR!R61</f>
        <v>239928.7187</v>
      </c>
      <c r="S58" s="70">
        <f>ARR!S61</f>
        <v>236701.2103</v>
      </c>
      <c r="T58" s="70">
        <f>ARR!T61</f>
        <v>233517.1182</v>
      </c>
      <c r="U58" s="70">
        <f>ARR!U61</f>
        <v>230375.8583</v>
      </c>
      <c r="V58" s="70">
        <f>ARR!V61</f>
        <v>227276.8544</v>
      </c>
      <c r="W58" s="70">
        <f>ARR!W61</f>
        <v>224219.5382</v>
      </c>
      <c r="X58" s="70">
        <f>ARR!X61</f>
        <v>221203.3489</v>
      </c>
      <c r="Y58" s="70">
        <f>ARR!Y61</f>
        <v>218227.7331</v>
      </c>
      <c r="Z58" s="70">
        <f t="shared" si="23"/>
        <v>2111356.783</v>
      </c>
      <c r="AA58" s="70">
        <f t="shared" si="24"/>
        <v>2824329.555</v>
      </c>
    </row>
    <row r="59" outlineLevel="1">
      <c r="A59" s="6" t="s">
        <v>516</v>
      </c>
      <c r="B59" s="70">
        <f>B56*'Rep capacity'!$B$23</f>
        <v>7907.278284</v>
      </c>
      <c r="C59" s="70">
        <f>C56*'Rep capacity'!$B$23</f>
        <v>7675.709445</v>
      </c>
      <c r="D59" s="70">
        <f>D56*'Rep capacity'!$B$23</f>
        <v>15126.63167</v>
      </c>
      <c r="E59" s="70">
        <f>E56*'Rep capacity'!$B$23</f>
        <v>22134.56246</v>
      </c>
      <c r="F59" s="70">
        <f>F56*'Rep capacity'!$B$23</f>
        <v>21486.34006</v>
      </c>
      <c r="G59" s="70">
        <f>G56*'Rep capacity'!$B$23</f>
        <v>24694.95592</v>
      </c>
      <c r="H59" s="70">
        <f>H56*'Rep capacity'!$B$23</f>
        <v>27697.21215</v>
      </c>
      <c r="I59" s="70">
        <f>I56*'Rep capacity'!$B$23</f>
        <v>26886.0846</v>
      </c>
      <c r="J59" s="70">
        <f>J56*'Rep capacity'!$B$23</f>
        <v>26098.71135</v>
      </c>
      <c r="K59" s="70">
        <f>K56*'Rep capacity'!$B$23</f>
        <v>25334.39675</v>
      </c>
      <c r="L59" s="70">
        <f>L56*'Rep capacity'!$B$23</f>
        <v>24592.4655</v>
      </c>
      <c r="M59" s="70">
        <f>M56*'Rep capacity'!$B$23</f>
        <v>23872.26211</v>
      </c>
      <c r="N59" s="70">
        <f>N56*'Rep capacity'!$B$23</f>
        <v>23173.15025</v>
      </c>
      <c r="O59" s="70">
        <f>O56*'Rep capacity'!$B$23</f>
        <v>22494.51225</v>
      </c>
      <c r="P59" s="70">
        <f>P56*'Rep capacity'!$B$23</f>
        <v>25673.60326</v>
      </c>
      <c r="Q59" s="70">
        <f>Q56*'Rep capacity'!$B$23</f>
        <v>28647.19928</v>
      </c>
      <c r="R59" s="70">
        <f>R56*'Rep capacity'!$B$23</f>
        <v>27808.25085</v>
      </c>
      <c r="S59" s="70">
        <f>S56*'Rep capacity'!$B$23</f>
        <v>26993.87148</v>
      </c>
      <c r="T59" s="70">
        <f>T56*'Rep capacity'!$B$23</f>
        <v>26203.34164</v>
      </c>
      <c r="U59" s="70">
        <f>U56*'Rep capacity'!$B$23</f>
        <v>25435.96288</v>
      </c>
      <c r="V59" s="70">
        <f>V56*'Rep capacity'!$B$23</f>
        <v>24691.05722</v>
      </c>
      <c r="W59" s="70">
        <f>W56*'Rep capacity'!$B$23</f>
        <v>23967.96651</v>
      </c>
      <c r="X59" s="70">
        <f>X56*'Rep capacity'!$B$23</f>
        <v>23266.0519</v>
      </c>
      <c r="Y59" s="70">
        <f>Y56*'Rep capacity'!$B$23</f>
        <v>22584.69323</v>
      </c>
      <c r="Z59" s="70">
        <f t="shared" si="23"/>
        <v>253506.6103</v>
      </c>
      <c r="AA59" s="70">
        <f t="shared" si="24"/>
        <v>300939.6607</v>
      </c>
    </row>
    <row r="60" outlineLevel="1">
      <c r="A60" s="6" t="s">
        <v>517</v>
      </c>
      <c r="B60" s="70">
        <f>B57*'Rep capacity'!$C$23</f>
        <v>20940.2993</v>
      </c>
      <c r="C60" s="70">
        <f>C57*'Rep capacity'!$C$23</f>
        <v>20554.50633</v>
      </c>
      <c r="D60" s="70">
        <f>D57*'Rep capacity'!$C$23</f>
        <v>20175.82099</v>
      </c>
      <c r="E60" s="70">
        <f>E57*'Rep capacity'!$C$23</f>
        <v>19804.11236</v>
      </c>
      <c r="F60" s="70">
        <f>F57*'Rep capacity'!$C$23</f>
        <v>19439.25188</v>
      </c>
      <c r="G60" s="70">
        <f>G57*'Rep capacity'!$C$23</f>
        <v>19081.11341</v>
      </c>
      <c r="H60" s="70">
        <f>H57*'Rep capacity'!$C$23</f>
        <v>18729.57309</v>
      </c>
      <c r="I60" s="70">
        <f>I57*'Rep capacity'!$C$23</f>
        <v>18384.50935</v>
      </c>
      <c r="J60" s="70">
        <f>J57*'Rep capacity'!$C$23</f>
        <v>18045.8029</v>
      </c>
      <c r="K60" s="70">
        <f>K57*'Rep capacity'!$C$23</f>
        <v>17713.33659</v>
      </c>
      <c r="L60" s="70">
        <f>L57*'Rep capacity'!$C$23</f>
        <v>17386.99546</v>
      </c>
      <c r="M60" s="70">
        <f>M57*'Rep capacity'!$C$23</f>
        <v>17066.66667</v>
      </c>
      <c r="N60" s="70">
        <f>N57*'Rep capacity'!$C$23</f>
        <v>16752.23944</v>
      </c>
      <c r="O60" s="70">
        <f>O57*'Rep capacity'!$C$23</f>
        <v>16443.60506</v>
      </c>
      <c r="P60" s="70">
        <f>P57*'Rep capacity'!$C$23</f>
        <v>16140.65679</v>
      </c>
      <c r="Q60" s="70">
        <f>Q57*'Rep capacity'!$C$23</f>
        <v>15843.28989</v>
      </c>
      <c r="R60" s="70">
        <f>R57*'Rep capacity'!$C$23</f>
        <v>20502.4296</v>
      </c>
      <c r="S60" s="70">
        <f>S57*'Rep capacity'!$C$23</f>
        <v>24984.51667</v>
      </c>
      <c r="T60" s="70">
        <f>T57*'Rep capacity'!$C$23</f>
        <v>29294.49352</v>
      </c>
      <c r="U60" s="70">
        <f>U57*'Rep capacity'!$C$23</f>
        <v>28754.7873</v>
      </c>
      <c r="V60" s="70">
        <f>V57*'Rep capacity'!$C$23</f>
        <v>28225.02433</v>
      </c>
      <c r="W60" s="70">
        <f>W57*'Rep capacity'!$C$23</f>
        <v>27705.02144</v>
      </c>
      <c r="X60" s="70">
        <f>X57*'Rep capacity'!$C$23</f>
        <v>27194.59881</v>
      </c>
      <c r="Y60" s="70">
        <f>Y57*'Rep capacity'!$C$23</f>
        <v>26693.57993</v>
      </c>
      <c r="Z60" s="70">
        <f t="shared" si="23"/>
        <v>227321.9883</v>
      </c>
      <c r="AA60" s="70">
        <f t="shared" si="24"/>
        <v>278534.2428</v>
      </c>
    </row>
    <row r="61" outlineLevel="1">
      <c r="A61" s="6" t="s">
        <v>518</v>
      </c>
      <c r="B61" s="70">
        <f>B58*'Rep capacity'!$D$23</f>
        <v>17264.59093</v>
      </c>
      <c r="C61" s="70">
        <f>C58*'Rep capacity'!$D$23</f>
        <v>17032.34856</v>
      </c>
      <c r="D61" s="70">
        <f>D58*'Rep capacity'!$D$23</f>
        <v>16803.23031</v>
      </c>
      <c r="E61" s="70">
        <f>E58*'Rep capacity'!$D$23</f>
        <v>16577.19415</v>
      </c>
      <c r="F61" s="70">
        <f>F58*'Rep capacity'!$D$23</f>
        <v>16354.19861</v>
      </c>
      <c r="G61" s="70">
        <f>G58*'Rep capacity'!$D$23</f>
        <v>16134.2028</v>
      </c>
      <c r="H61" s="70">
        <f>H58*'Rep capacity'!$D$23</f>
        <v>15917.16636</v>
      </c>
      <c r="I61" s="70">
        <f>I58*'Rep capacity'!$D$23</f>
        <v>19682.34107</v>
      </c>
      <c r="J61" s="70">
        <f>J58*'Rep capacity'!$D$23</f>
        <v>23343.33763</v>
      </c>
      <c r="K61" s="70">
        <f>K58*'Rep capacity'!$D$23</f>
        <v>26902.27751</v>
      </c>
      <c r="L61" s="70">
        <f>L58*'Rep capacity'!$D$23</f>
        <v>30361.24396</v>
      </c>
      <c r="M61" s="70">
        <f>M58*'Rep capacity'!$D$23</f>
        <v>29952.82612</v>
      </c>
      <c r="N61" s="70">
        <f>N58*'Rep capacity'!$D$23</f>
        <v>29549.90229</v>
      </c>
      <c r="O61" s="70">
        <f>O58*'Rep capacity'!$D$23</f>
        <v>29152.39857</v>
      </c>
      <c r="P61" s="70">
        <f>P58*'Rep capacity'!$D$23</f>
        <v>28760.24205</v>
      </c>
      <c r="Q61" s="70">
        <f>Q58*'Rep capacity'!$D$23</f>
        <v>28373.3608</v>
      </c>
      <c r="R61" s="70">
        <f>R58*'Rep capacity'!$D$23</f>
        <v>27991.68385</v>
      </c>
      <c r="S61" s="70">
        <f>S58*'Rep capacity'!$D$23</f>
        <v>27615.1412</v>
      </c>
      <c r="T61" s="70">
        <f>T58*'Rep capacity'!$D$23</f>
        <v>27243.66379</v>
      </c>
      <c r="U61" s="70">
        <f>U58*'Rep capacity'!$D$23</f>
        <v>26877.18346</v>
      </c>
      <c r="V61" s="70">
        <f>V58*'Rep capacity'!$D$23</f>
        <v>26515.63302</v>
      </c>
      <c r="W61" s="70">
        <f>W58*'Rep capacity'!$D$23</f>
        <v>26158.94613</v>
      </c>
      <c r="X61" s="70">
        <f>X58*'Rep capacity'!$D$23</f>
        <v>25807.05737</v>
      </c>
      <c r="Y61" s="70">
        <f>Y58*'Rep capacity'!$D$23</f>
        <v>25459.9022</v>
      </c>
      <c r="Z61" s="70">
        <f t="shared" si="23"/>
        <v>246324.958</v>
      </c>
      <c r="AA61" s="70">
        <f t="shared" si="24"/>
        <v>329505.1147</v>
      </c>
    </row>
    <row r="62" outlineLevel="1">
      <c r="A62" s="6" t="s">
        <v>537</v>
      </c>
      <c r="B62" s="73">
        <f>Funnel!B42</f>
        <v>646.1393702</v>
      </c>
      <c r="C62" s="73">
        <f>Funnel!C42</f>
        <v>1273.356206</v>
      </c>
      <c r="D62" s="73">
        <f>Funnel!D42</f>
        <v>1863.28213</v>
      </c>
      <c r="E62" s="73">
        <f>Funnel!E42</f>
        <v>1808.714925</v>
      </c>
      <c r="F62" s="73">
        <f>Funnel!F42</f>
        <v>2078.815434</v>
      </c>
      <c r="G62" s="73">
        <f>Funnel!G42</f>
        <v>2331.54464</v>
      </c>
      <c r="H62" s="73">
        <f>Funnel!H42</f>
        <v>2263.264118</v>
      </c>
      <c r="I62" s="73">
        <f>Funnel!I42</f>
        <v>2196.983228</v>
      </c>
      <c r="J62" s="73">
        <f>Funnel!J42</f>
        <v>2132.643409</v>
      </c>
      <c r="K62" s="73">
        <f>Funnel!K42</f>
        <v>2070.187816</v>
      </c>
      <c r="L62" s="73">
        <f>Funnel!L42</f>
        <v>2009.561268</v>
      </c>
      <c r="M62" s="73">
        <f>Funnel!M42</f>
        <v>1950.7102</v>
      </c>
      <c r="N62" s="73">
        <f>Funnel!N42</f>
        <v>1893.582617</v>
      </c>
      <c r="O62" s="73">
        <f>Funnel!O42</f>
        <v>2161.197731</v>
      </c>
      <c r="P62" s="73">
        <f>Funnel!P42</f>
        <v>2411.514327</v>
      </c>
      <c r="Q62" s="73">
        <f>Funnel!Q42</f>
        <v>2340.891851</v>
      </c>
      <c r="R62" s="73">
        <f>Funnel!R42</f>
        <v>2272.337592</v>
      </c>
      <c r="S62" s="73">
        <f>Funnel!S42</f>
        <v>2205.79098</v>
      </c>
      <c r="T62" s="73">
        <f>Funnel!T42</f>
        <v>2141.193222</v>
      </c>
      <c r="U62" s="73">
        <f>Funnel!U42</f>
        <v>2078.487242</v>
      </c>
      <c r="V62" s="73">
        <f>Funnel!V42</f>
        <v>2017.617641</v>
      </c>
      <c r="W62" s="73">
        <f>Funnel!W42</f>
        <v>1958.530638</v>
      </c>
      <c r="X62" s="73">
        <f>Funnel!X42</f>
        <v>1901.17403</v>
      </c>
      <c r="Y62" s="73">
        <f>Funnel!Y42</f>
        <v>1901.17403</v>
      </c>
      <c r="Z62" s="73">
        <f t="shared" si="23"/>
        <v>22625.20275</v>
      </c>
      <c r="AA62" s="73">
        <f t="shared" si="24"/>
        <v>25283.4919</v>
      </c>
    </row>
    <row r="63" outlineLevel="1">
      <c r="A63" s="6" t="s">
        <v>538</v>
      </c>
      <c r="B63" s="73">
        <f>Funnel!B70</f>
        <v>475.2986966</v>
      </c>
      <c r="C63" s="73">
        <f>Funnel!C70</f>
        <v>466.5420452</v>
      </c>
      <c r="D63" s="73">
        <f>Funnel!D70</f>
        <v>457.9467218</v>
      </c>
      <c r="E63" s="73">
        <f>Funnel!E70</f>
        <v>449.509754</v>
      </c>
      <c r="F63" s="73">
        <f>Funnel!F70</f>
        <v>441.2282245</v>
      </c>
      <c r="G63" s="73">
        <f>Funnel!G70</f>
        <v>433.0992695</v>
      </c>
      <c r="H63" s="73">
        <f>Funnel!H70</f>
        <v>425.1200781</v>
      </c>
      <c r="I63" s="73">
        <f>Funnel!I70</f>
        <v>417.287891</v>
      </c>
      <c r="J63" s="73">
        <f>Funnel!J70</f>
        <v>409.6</v>
      </c>
      <c r="K63" s="73">
        <f>Funnel!K70</f>
        <v>402.0537466</v>
      </c>
      <c r="L63" s="73">
        <f>Funnel!L70</f>
        <v>394.6465214</v>
      </c>
      <c r="M63" s="73">
        <f>Funnel!M70</f>
        <v>387.375763</v>
      </c>
      <c r="N63" s="73">
        <f>Funnel!N70</f>
        <v>380.2389572</v>
      </c>
      <c r="O63" s="73">
        <f>Funnel!O70</f>
        <v>492.0583103</v>
      </c>
      <c r="P63" s="73">
        <f>Funnel!P70</f>
        <v>599.6284</v>
      </c>
      <c r="Q63" s="73">
        <f>Funnel!Q70</f>
        <v>703.0678446</v>
      </c>
      <c r="R63" s="73">
        <f>Funnel!R70</f>
        <v>690.1148951</v>
      </c>
      <c r="S63" s="73">
        <f>Funnel!S70</f>
        <v>677.400584</v>
      </c>
      <c r="T63" s="73">
        <f>Funnel!T70</f>
        <v>664.9205146</v>
      </c>
      <c r="U63" s="73">
        <f>Funnel!U70</f>
        <v>652.6703713</v>
      </c>
      <c r="V63" s="73">
        <f>Funnel!V70</f>
        <v>640.6459182</v>
      </c>
      <c r="W63" s="73">
        <f>Funnel!W70</f>
        <v>640.6459182</v>
      </c>
      <c r="X63" s="73">
        <f>Funnel!X70</f>
        <v>640.6459182</v>
      </c>
      <c r="Y63" s="73">
        <f>Funnel!Y70</f>
        <v>640.6459182</v>
      </c>
      <c r="Z63" s="73">
        <f t="shared" si="23"/>
        <v>5159.708712</v>
      </c>
      <c r="AA63" s="73">
        <f t="shared" si="24"/>
        <v>7422.68355</v>
      </c>
    </row>
    <row r="64" outlineLevel="1">
      <c r="A64" s="6" t="s">
        <v>539</v>
      </c>
      <c r="B64" s="73">
        <f>Funnel!B98</f>
        <v>50.53068685</v>
      </c>
      <c r="C64" s="73">
        <f>Funnel!C98</f>
        <v>62.48362245</v>
      </c>
      <c r="D64" s="73">
        <f>Funnel!D98</f>
        <v>74.10583375</v>
      </c>
      <c r="E64" s="73">
        <f>Funnel!E98</f>
        <v>85.4040556</v>
      </c>
      <c r="F64" s="73">
        <f>Funnel!F98</f>
        <v>96.38490147</v>
      </c>
      <c r="G64" s="73">
        <f>Funnel!G98</f>
        <v>95.08833688</v>
      </c>
      <c r="H64" s="73">
        <f>Funnel!H98</f>
        <v>93.80921361</v>
      </c>
      <c r="I64" s="73">
        <f>Funnel!I98</f>
        <v>92.54729704</v>
      </c>
      <c r="J64" s="73">
        <f>Funnel!J98</f>
        <v>91.30235571</v>
      </c>
      <c r="K64" s="73">
        <f>Funnel!K98</f>
        <v>90.07416126</v>
      </c>
      <c r="L64" s="73">
        <f>Funnel!L98</f>
        <v>88.86248841</v>
      </c>
      <c r="M64" s="73">
        <f>Funnel!M98</f>
        <v>87.66711493</v>
      </c>
      <c r="N64" s="73">
        <f>Funnel!N98</f>
        <v>86.48782154</v>
      </c>
      <c r="O64" s="73">
        <f>Funnel!O98</f>
        <v>85.32439195</v>
      </c>
      <c r="P64" s="73">
        <f>Funnel!P98</f>
        <v>84.17661275</v>
      </c>
      <c r="Q64" s="73">
        <f>Funnel!Q98</f>
        <v>83.04427341</v>
      </c>
      <c r="R64" s="73">
        <f>Funnel!R98</f>
        <v>81.92716625</v>
      </c>
      <c r="S64" s="73">
        <f>Funnel!S98</f>
        <v>80.82508635</v>
      </c>
      <c r="T64" s="73">
        <f>Funnel!T98</f>
        <v>80.82508635</v>
      </c>
      <c r="U64" s="73">
        <f>Funnel!U98</f>
        <v>80.82508635</v>
      </c>
      <c r="V64" s="73">
        <f>Funnel!V98</f>
        <v>80.82508635</v>
      </c>
      <c r="W64" s="73">
        <f>Funnel!W98</f>
        <v>80.82508635</v>
      </c>
      <c r="X64" s="73">
        <f>Funnel!X98</f>
        <v>80.82508635</v>
      </c>
      <c r="Y64" s="73">
        <f>Funnel!Y98</f>
        <v>80.82508635</v>
      </c>
      <c r="Z64" s="73">
        <f t="shared" si="23"/>
        <v>1008.260068</v>
      </c>
      <c r="AA64" s="73">
        <f t="shared" si="24"/>
        <v>986.7358704</v>
      </c>
    </row>
    <row r="65" outlineLevel="1">
      <c r="A65" s="6" t="s">
        <v>540</v>
      </c>
      <c r="B65" s="70">
        <f>B62*Inputs!$E$49</f>
        <v>32306.96851</v>
      </c>
      <c r="C65" s="70">
        <f>C62*Inputs!$E$49</f>
        <v>63667.81031</v>
      </c>
      <c r="D65" s="70">
        <f>D62*Inputs!$E$49</f>
        <v>93164.10652</v>
      </c>
      <c r="E65" s="70">
        <f>E62*Inputs!$E$49</f>
        <v>90435.74625</v>
      </c>
      <c r="F65" s="70">
        <f>F62*Inputs!$E$49</f>
        <v>103940.7717</v>
      </c>
      <c r="G65" s="70">
        <f>G62*Inputs!$E$49</f>
        <v>116577.232</v>
      </c>
      <c r="H65" s="70">
        <f>H62*Inputs!$E$49</f>
        <v>113163.2059</v>
      </c>
      <c r="I65" s="70">
        <f>I62*Inputs!$E$49</f>
        <v>109849.1614</v>
      </c>
      <c r="J65" s="70">
        <f>J62*Inputs!$E$49</f>
        <v>106632.1705</v>
      </c>
      <c r="K65" s="70">
        <f>K62*Inputs!$E$49</f>
        <v>103509.3908</v>
      </c>
      <c r="L65" s="70">
        <f>L62*Inputs!$E$49</f>
        <v>100478.0634</v>
      </c>
      <c r="M65" s="70">
        <f>M62*Inputs!$E$49</f>
        <v>97535.51001</v>
      </c>
      <c r="N65" s="70">
        <f>N62*Inputs!$E$49</f>
        <v>94679.13086</v>
      </c>
      <c r="O65" s="70">
        <f>O62*Inputs!$E$49</f>
        <v>108059.8866</v>
      </c>
      <c r="P65" s="70">
        <f>P62*Inputs!$E$49</f>
        <v>120575.7164</v>
      </c>
      <c r="Q65" s="70">
        <f>Q62*Inputs!$E$49</f>
        <v>117044.5926</v>
      </c>
      <c r="R65" s="70">
        <f>R62*Inputs!$E$49</f>
        <v>113616.8796</v>
      </c>
      <c r="S65" s="70">
        <f>S62*Inputs!$E$49</f>
        <v>110289.549</v>
      </c>
      <c r="T65" s="70">
        <f>T62*Inputs!$E$49</f>
        <v>107059.6611</v>
      </c>
      <c r="U65" s="70">
        <f>U62*Inputs!$E$49</f>
        <v>103924.3621</v>
      </c>
      <c r="V65" s="70">
        <f>V62*Inputs!$E$49</f>
        <v>100880.8821</v>
      </c>
      <c r="W65" s="70">
        <f>W62*Inputs!$E$49</f>
        <v>97926.53192</v>
      </c>
      <c r="X65" s="70">
        <f>X62*Inputs!$E$49</f>
        <v>95058.70149</v>
      </c>
      <c r="Y65" s="70">
        <f>Y62*Inputs!$E$49</f>
        <v>95058.70149</v>
      </c>
      <c r="Z65" s="70">
        <f t="shared" si="23"/>
        <v>1131260.137</v>
      </c>
      <c r="AA65" s="70">
        <f t="shared" si="24"/>
        <v>1264174.595</v>
      </c>
    </row>
    <row r="66" outlineLevel="1">
      <c r="A66" s="6" t="s">
        <v>541</v>
      </c>
      <c r="B66" s="70">
        <f>B63*Inputs!$F$49</f>
        <v>71294.80448</v>
      </c>
      <c r="C66" s="70">
        <f>C63*Inputs!$F$49</f>
        <v>69981.30678</v>
      </c>
      <c r="D66" s="70">
        <f>D63*Inputs!$F$49</f>
        <v>68692.00827</v>
      </c>
      <c r="E66" s="70">
        <f>E63*Inputs!$F$49</f>
        <v>67426.46311</v>
      </c>
      <c r="F66" s="70">
        <f>F63*Inputs!$F$49</f>
        <v>66184.23368</v>
      </c>
      <c r="G66" s="70">
        <f>G63*Inputs!$F$49</f>
        <v>64964.89043</v>
      </c>
      <c r="H66" s="70">
        <f>H63*Inputs!$F$49</f>
        <v>63768.01171</v>
      </c>
      <c r="I66" s="70">
        <f>I63*Inputs!$F$49</f>
        <v>62593.18365</v>
      </c>
      <c r="J66" s="70">
        <f>J63*Inputs!$F$49</f>
        <v>61440</v>
      </c>
      <c r="K66" s="70">
        <f>K63*Inputs!$F$49</f>
        <v>60308.062</v>
      </c>
      <c r="L66" s="70">
        <f>L63*Inputs!$F$49</f>
        <v>59196.97822</v>
      </c>
      <c r="M66" s="70">
        <f>M63*Inputs!$F$49</f>
        <v>58106.36446</v>
      </c>
      <c r="N66" s="70">
        <f>N63*Inputs!$F$49</f>
        <v>57035.84359</v>
      </c>
      <c r="O66" s="70">
        <f>O63*Inputs!$F$49</f>
        <v>73808.74655</v>
      </c>
      <c r="P66" s="70">
        <f>P63*Inputs!$F$49</f>
        <v>89944.26001</v>
      </c>
      <c r="Q66" s="70">
        <f>Q63*Inputs!$F$49</f>
        <v>105460.1767</v>
      </c>
      <c r="R66" s="70">
        <f>R63*Inputs!$F$49</f>
        <v>103517.2343</v>
      </c>
      <c r="S66" s="70">
        <f>S63*Inputs!$F$49</f>
        <v>101610.0876</v>
      </c>
      <c r="T66" s="70">
        <f>T63*Inputs!$F$49</f>
        <v>99738.07719</v>
      </c>
      <c r="U66" s="70">
        <f>U63*Inputs!$F$49</f>
        <v>97900.5557</v>
      </c>
      <c r="V66" s="70">
        <f>V63*Inputs!$F$49</f>
        <v>96096.88774</v>
      </c>
      <c r="W66" s="70">
        <f>W63*Inputs!$F$49</f>
        <v>96096.88774</v>
      </c>
      <c r="X66" s="70">
        <f>X63*Inputs!$F$49</f>
        <v>96096.88774</v>
      </c>
      <c r="Y66" s="70">
        <f>Y63*Inputs!$F$49</f>
        <v>96096.88774</v>
      </c>
      <c r="Z66" s="70">
        <f t="shared" si="23"/>
        <v>773956.3068</v>
      </c>
      <c r="AA66" s="70">
        <f t="shared" si="24"/>
        <v>1113402.533</v>
      </c>
    </row>
    <row r="67" outlineLevel="1">
      <c r="A67" s="6" t="s">
        <v>542</v>
      </c>
      <c r="B67" s="70">
        <f>B64*Inputs!$G$49</f>
        <v>40424.54948</v>
      </c>
      <c r="C67" s="70">
        <f>C64*Inputs!$G$49</f>
        <v>49986.89796</v>
      </c>
      <c r="D67" s="70">
        <f>D64*Inputs!$G$49</f>
        <v>59284.667</v>
      </c>
      <c r="E67" s="70">
        <f>E64*Inputs!$G$49</f>
        <v>68323.24448</v>
      </c>
      <c r="F67" s="70">
        <f>F64*Inputs!$G$49</f>
        <v>77107.92118</v>
      </c>
      <c r="G67" s="70">
        <f>G64*Inputs!$G$49</f>
        <v>76070.66951</v>
      </c>
      <c r="H67" s="70">
        <f>H64*Inputs!$G$49</f>
        <v>75047.37089</v>
      </c>
      <c r="I67" s="70">
        <f>I64*Inputs!$G$49</f>
        <v>74037.83763</v>
      </c>
      <c r="J67" s="70">
        <f>J64*Inputs!$G$49</f>
        <v>73041.88457</v>
      </c>
      <c r="K67" s="70">
        <f>K64*Inputs!$G$49</f>
        <v>72059.329</v>
      </c>
      <c r="L67" s="70">
        <f>L64*Inputs!$G$49</f>
        <v>71089.99073</v>
      </c>
      <c r="M67" s="70">
        <f>M64*Inputs!$G$49</f>
        <v>70133.69194</v>
      </c>
      <c r="N67" s="70">
        <f>N64*Inputs!$G$49</f>
        <v>69190.25723</v>
      </c>
      <c r="O67" s="70">
        <f>O64*Inputs!$G$49</f>
        <v>68259.51356</v>
      </c>
      <c r="P67" s="70">
        <f>P64*Inputs!$G$49</f>
        <v>67341.2902</v>
      </c>
      <c r="Q67" s="70">
        <f>Q64*Inputs!$G$49</f>
        <v>66435.41873</v>
      </c>
      <c r="R67" s="70">
        <f>R64*Inputs!$G$49</f>
        <v>65541.733</v>
      </c>
      <c r="S67" s="70">
        <f>S64*Inputs!$G$49</f>
        <v>64660.06908</v>
      </c>
      <c r="T67" s="70">
        <f>T64*Inputs!$G$49</f>
        <v>64660.06908</v>
      </c>
      <c r="U67" s="70">
        <f>U64*Inputs!$G$49</f>
        <v>64660.06908</v>
      </c>
      <c r="V67" s="70">
        <f>V64*Inputs!$G$49</f>
        <v>64660.06908</v>
      </c>
      <c r="W67" s="70">
        <f>W64*Inputs!$G$49</f>
        <v>64660.06908</v>
      </c>
      <c r="X67" s="70">
        <f>X64*Inputs!$G$49</f>
        <v>64660.06908</v>
      </c>
      <c r="Y67" s="70">
        <f>Y64*Inputs!$G$49</f>
        <v>64660.06908</v>
      </c>
      <c r="Z67" s="70">
        <f t="shared" si="23"/>
        <v>806608.0544</v>
      </c>
      <c r="AA67" s="70">
        <f t="shared" si="24"/>
        <v>789388.6963</v>
      </c>
    </row>
    <row r="68" outlineLevel="1">
      <c r="A68" s="99" t="s">
        <v>525</v>
      </c>
      <c r="B68" s="100">
        <f t="shared" ref="B68:Y68" si="25">B53+B54+B55</f>
        <v>127604.1667</v>
      </c>
      <c r="C68" s="100">
        <f t="shared" si="25"/>
        <v>126246.8863</v>
      </c>
      <c r="D68" s="100">
        <f t="shared" si="25"/>
        <v>123822.4908</v>
      </c>
      <c r="E68" s="100">
        <f t="shared" si="25"/>
        <v>133429.373</v>
      </c>
      <c r="F68" s="100">
        <f t="shared" si="25"/>
        <v>131107.9601</v>
      </c>
      <c r="G68" s="100">
        <f t="shared" si="25"/>
        <v>128485.395</v>
      </c>
      <c r="H68" s="100">
        <f t="shared" si="25"/>
        <v>125921.591</v>
      </c>
      <c r="I68" s="100">
        <f t="shared" si="25"/>
        <v>123415.1009</v>
      </c>
      <c r="J68" s="100">
        <f t="shared" si="25"/>
        <v>120964.5153</v>
      </c>
      <c r="K68" s="100">
        <f t="shared" si="25"/>
        <v>118568.4622</v>
      </c>
      <c r="L68" s="100">
        <f t="shared" si="25"/>
        <v>116225.6054</v>
      </c>
      <c r="M68" s="100">
        <f t="shared" si="25"/>
        <v>113934.6441</v>
      </c>
      <c r="N68" s="100">
        <f t="shared" si="25"/>
        <v>148673.478</v>
      </c>
      <c r="O68" s="100">
        <f t="shared" si="25"/>
        <v>146482.5401</v>
      </c>
      <c r="P68" s="100">
        <f t="shared" si="25"/>
        <v>143528.3926</v>
      </c>
      <c r="Q68" s="100">
        <f t="shared" si="25"/>
        <v>140640.028</v>
      </c>
      <c r="R68" s="100">
        <f t="shared" si="25"/>
        <v>137815.8496</v>
      </c>
      <c r="S68" s="100">
        <f t="shared" si="25"/>
        <v>135054.302</v>
      </c>
      <c r="T68" s="100">
        <f t="shared" si="25"/>
        <v>132353.8702</v>
      </c>
      <c r="U68" s="100">
        <f t="shared" si="25"/>
        <v>129713.0784</v>
      </c>
      <c r="V68" s="100">
        <f t="shared" si="25"/>
        <v>127130.4887</v>
      </c>
      <c r="W68" s="100">
        <f t="shared" si="25"/>
        <v>124604.7005</v>
      </c>
      <c r="X68" s="100">
        <f t="shared" si="25"/>
        <v>122134.3491</v>
      </c>
      <c r="Y68" s="100">
        <f t="shared" si="25"/>
        <v>119718.1051</v>
      </c>
      <c r="Z68" s="100">
        <f t="shared" si="23"/>
        <v>1489726.191</v>
      </c>
      <c r="AA68" s="100">
        <f t="shared" si="24"/>
        <v>1607849.182</v>
      </c>
    </row>
    <row r="69" outlineLevel="1">
      <c r="A69" s="6" t="s">
        <v>526</v>
      </c>
      <c r="B69" s="70">
        <f t="shared" ref="B69:Y69" si="26">B59+B60+B61</f>
        <v>46112.16852</v>
      </c>
      <c r="C69" s="70">
        <f t="shared" si="26"/>
        <v>45262.56434</v>
      </c>
      <c r="D69" s="70">
        <f t="shared" si="26"/>
        <v>52105.68298</v>
      </c>
      <c r="E69" s="70">
        <f t="shared" si="26"/>
        <v>58515.86897</v>
      </c>
      <c r="F69" s="70">
        <f t="shared" si="26"/>
        <v>57279.79056</v>
      </c>
      <c r="G69" s="70">
        <f t="shared" si="26"/>
        <v>59910.27213</v>
      </c>
      <c r="H69" s="70">
        <f t="shared" si="26"/>
        <v>62343.95159</v>
      </c>
      <c r="I69" s="70">
        <f t="shared" si="26"/>
        <v>64952.93503</v>
      </c>
      <c r="J69" s="70">
        <f t="shared" si="26"/>
        <v>67487.85188</v>
      </c>
      <c r="K69" s="70">
        <f t="shared" si="26"/>
        <v>69950.01085</v>
      </c>
      <c r="L69" s="70">
        <f t="shared" si="26"/>
        <v>72340.70492</v>
      </c>
      <c r="M69" s="70">
        <f t="shared" si="26"/>
        <v>70891.75489</v>
      </c>
      <c r="N69" s="70">
        <f t="shared" si="26"/>
        <v>69475.29198</v>
      </c>
      <c r="O69" s="70">
        <f t="shared" si="26"/>
        <v>68090.51588</v>
      </c>
      <c r="P69" s="70">
        <f t="shared" si="26"/>
        <v>70574.5021</v>
      </c>
      <c r="Q69" s="70">
        <f t="shared" si="26"/>
        <v>72863.84996</v>
      </c>
      <c r="R69" s="70">
        <f t="shared" si="26"/>
        <v>76302.3643</v>
      </c>
      <c r="S69" s="70">
        <f t="shared" si="26"/>
        <v>79593.52935</v>
      </c>
      <c r="T69" s="70">
        <f t="shared" si="26"/>
        <v>82741.49895</v>
      </c>
      <c r="U69" s="70">
        <f t="shared" si="26"/>
        <v>81067.93364</v>
      </c>
      <c r="V69" s="70">
        <f t="shared" si="26"/>
        <v>79431.71456</v>
      </c>
      <c r="W69" s="70">
        <f t="shared" si="26"/>
        <v>77831.93408</v>
      </c>
      <c r="X69" s="70">
        <f t="shared" si="26"/>
        <v>76267.70807</v>
      </c>
      <c r="Y69" s="70">
        <f t="shared" si="26"/>
        <v>74738.17536</v>
      </c>
      <c r="Z69" s="70">
        <f t="shared" si="23"/>
        <v>727153.5566</v>
      </c>
      <c r="AA69" s="70">
        <f t="shared" si="24"/>
        <v>908979.0182</v>
      </c>
    </row>
    <row r="70" outlineLevel="1">
      <c r="A70" s="6" t="s">
        <v>527</v>
      </c>
      <c r="B70" s="70">
        <f>(B68+B69)*Inputs!$B$51</f>
        <v>173716.3352</v>
      </c>
      <c r="C70" s="70">
        <f>(C68+C69)*Inputs!$B$51</f>
        <v>171509.4506</v>
      </c>
      <c r="D70" s="70">
        <f>(D68+D69)*Inputs!$B$51</f>
        <v>175928.1738</v>
      </c>
      <c r="E70" s="70">
        <f>(E68+E69)*Inputs!$B$51</f>
        <v>191945.242</v>
      </c>
      <c r="F70" s="70">
        <f>(F68+F69)*Inputs!$B$51</f>
        <v>188387.7507</v>
      </c>
      <c r="G70" s="70">
        <f>(G68+G69)*Inputs!$B$51</f>
        <v>188395.6671</v>
      </c>
      <c r="H70" s="70">
        <f>(H68+H69)*Inputs!$B$51</f>
        <v>188265.5426</v>
      </c>
      <c r="I70" s="70">
        <f>(I68+I69)*Inputs!$B$51</f>
        <v>188368.0359</v>
      </c>
      <c r="J70" s="70">
        <f>(J68+J69)*Inputs!$B$51</f>
        <v>188452.3672</v>
      </c>
      <c r="K70" s="70">
        <f>(K68+K69)*Inputs!$B$51</f>
        <v>188518.473</v>
      </c>
      <c r="L70" s="70">
        <f>(L68+L69)*Inputs!$B$51</f>
        <v>188566.3104</v>
      </c>
      <c r="M70" s="70">
        <f>(M68+M69)*Inputs!$B$51</f>
        <v>184826.399</v>
      </c>
      <c r="N70" s="70">
        <f>(N68+N69)*Inputs!$B$51</f>
        <v>218148.77</v>
      </c>
      <c r="O70" s="70">
        <f>(O68+O69)*Inputs!$B$51</f>
        <v>214573.056</v>
      </c>
      <c r="P70" s="70">
        <f>(P68+P69)*Inputs!$B$51</f>
        <v>214102.8947</v>
      </c>
      <c r="Q70" s="70">
        <f>(Q68+Q69)*Inputs!$B$51</f>
        <v>213503.878</v>
      </c>
      <c r="R70" s="70">
        <f>(R68+R69)*Inputs!$B$51</f>
        <v>214118.2139</v>
      </c>
      <c r="S70" s="70">
        <f>(S68+S69)*Inputs!$B$51</f>
        <v>214647.8313</v>
      </c>
      <c r="T70" s="70">
        <f>(T68+T69)*Inputs!$B$51</f>
        <v>215095.3692</v>
      </c>
      <c r="U70" s="70">
        <f>(U68+U69)*Inputs!$B$51</f>
        <v>210781.012</v>
      </c>
      <c r="V70" s="70">
        <f>(V68+V69)*Inputs!$B$51</f>
        <v>206562.2033</v>
      </c>
      <c r="W70" s="70">
        <f>(W68+W69)*Inputs!$B$51</f>
        <v>202436.6345</v>
      </c>
      <c r="X70" s="70">
        <f>(X68+X69)*Inputs!$B$51</f>
        <v>198402.0572</v>
      </c>
      <c r="Y70" s="70">
        <f>(Y68+Y69)*Inputs!$B$51</f>
        <v>194456.2805</v>
      </c>
      <c r="Z70" s="70">
        <f t="shared" si="23"/>
        <v>2216879.748</v>
      </c>
      <c r="AA70" s="70">
        <f t="shared" si="24"/>
        <v>2516828.2</v>
      </c>
    </row>
    <row r="71" outlineLevel="1">
      <c r="A71" s="6" t="s">
        <v>528</v>
      </c>
      <c r="B71" s="70">
        <f t="shared" ref="B71:Y71" si="27">B65+B66+B67</f>
        <v>144026.3225</v>
      </c>
      <c r="C71" s="70">
        <f t="shared" si="27"/>
        <v>183636.0151</v>
      </c>
      <c r="D71" s="70">
        <f t="shared" si="27"/>
        <v>221140.7818</v>
      </c>
      <c r="E71" s="70">
        <f t="shared" si="27"/>
        <v>226185.4538</v>
      </c>
      <c r="F71" s="70">
        <f t="shared" si="27"/>
        <v>247232.9266</v>
      </c>
      <c r="G71" s="70">
        <f t="shared" si="27"/>
        <v>257612.7919</v>
      </c>
      <c r="H71" s="70">
        <f t="shared" si="27"/>
        <v>251978.5885</v>
      </c>
      <c r="I71" s="70">
        <f t="shared" si="27"/>
        <v>246480.1827</v>
      </c>
      <c r="J71" s="70">
        <f t="shared" si="27"/>
        <v>241114.055</v>
      </c>
      <c r="K71" s="70">
        <f t="shared" si="27"/>
        <v>235876.7818</v>
      </c>
      <c r="L71" s="70">
        <f t="shared" si="27"/>
        <v>230765.0323</v>
      </c>
      <c r="M71" s="70">
        <f t="shared" si="27"/>
        <v>225775.5664</v>
      </c>
      <c r="N71" s="70">
        <f t="shared" si="27"/>
        <v>220905.2317</v>
      </c>
      <c r="O71" s="70">
        <f t="shared" si="27"/>
        <v>250128.1467</v>
      </c>
      <c r="P71" s="70">
        <f t="shared" si="27"/>
        <v>277861.2666</v>
      </c>
      <c r="Q71" s="70">
        <f t="shared" si="27"/>
        <v>288940.188</v>
      </c>
      <c r="R71" s="70">
        <f t="shared" si="27"/>
        <v>282675.8469</v>
      </c>
      <c r="S71" s="70">
        <f t="shared" si="27"/>
        <v>276559.7057</v>
      </c>
      <c r="T71" s="70">
        <f t="shared" si="27"/>
        <v>271457.8073</v>
      </c>
      <c r="U71" s="70">
        <f t="shared" si="27"/>
        <v>266484.9869</v>
      </c>
      <c r="V71" s="70">
        <f t="shared" si="27"/>
        <v>261637.8389</v>
      </c>
      <c r="W71" s="70">
        <f t="shared" si="27"/>
        <v>258683.4887</v>
      </c>
      <c r="X71" s="70">
        <f t="shared" si="27"/>
        <v>255815.6583</v>
      </c>
      <c r="Y71" s="70">
        <f t="shared" si="27"/>
        <v>255815.6583</v>
      </c>
      <c r="Z71" s="70">
        <f t="shared" si="23"/>
        <v>2711824.498</v>
      </c>
      <c r="AA71" s="70">
        <f t="shared" si="24"/>
        <v>3166965.824</v>
      </c>
    </row>
    <row r="72" outlineLevel="1">
      <c r="A72" s="6" t="s">
        <v>529</v>
      </c>
      <c r="B72" s="70">
        <f>Inputs!$B$52</f>
        <v>100000</v>
      </c>
      <c r="C72" s="70">
        <f>Inputs!$B$52</f>
        <v>100000</v>
      </c>
      <c r="D72" s="70">
        <f>Inputs!$B$52</f>
        <v>100000</v>
      </c>
      <c r="E72" s="70">
        <f>Inputs!$B$52</f>
        <v>100000</v>
      </c>
      <c r="F72" s="70">
        <f>Inputs!$B$52</f>
        <v>100000</v>
      </c>
      <c r="G72" s="70">
        <f>Inputs!$B$52</f>
        <v>100000</v>
      </c>
      <c r="H72" s="70">
        <f>Inputs!$B$52</f>
        <v>100000</v>
      </c>
      <c r="I72" s="70">
        <f>Inputs!$B$52</f>
        <v>100000</v>
      </c>
      <c r="J72" s="70">
        <f>Inputs!$B$52</f>
        <v>100000</v>
      </c>
      <c r="K72" s="70">
        <f>Inputs!$B$52</f>
        <v>100000</v>
      </c>
      <c r="L72" s="70">
        <f>Inputs!$B$52</f>
        <v>100000</v>
      </c>
      <c r="M72" s="70">
        <f>Inputs!$B$52</f>
        <v>100000</v>
      </c>
      <c r="N72" s="70">
        <f>Inputs!$B$52</f>
        <v>100000</v>
      </c>
      <c r="O72" s="70">
        <f>Inputs!$B$52</f>
        <v>100000</v>
      </c>
      <c r="P72" s="70">
        <f>Inputs!$B$52</f>
        <v>100000</v>
      </c>
      <c r="Q72" s="70">
        <f>Inputs!$B$52</f>
        <v>100000</v>
      </c>
      <c r="R72" s="70">
        <f>Inputs!$B$52</f>
        <v>100000</v>
      </c>
      <c r="S72" s="70">
        <f>Inputs!$B$52</f>
        <v>100000</v>
      </c>
      <c r="T72" s="70">
        <f>Inputs!$B$52</f>
        <v>100000</v>
      </c>
      <c r="U72" s="70">
        <f>Inputs!$B$52</f>
        <v>100000</v>
      </c>
      <c r="V72" s="70">
        <f>Inputs!$B$52</f>
        <v>100000</v>
      </c>
      <c r="W72" s="70">
        <f>Inputs!$B$52</f>
        <v>100000</v>
      </c>
      <c r="X72" s="70">
        <f>Inputs!$B$52</f>
        <v>100000</v>
      </c>
      <c r="Y72" s="70">
        <f>Inputs!$B$52</f>
        <v>100000</v>
      </c>
      <c r="Z72" s="70">
        <f t="shared" si="23"/>
        <v>1200000</v>
      </c>
      <c r="AA72" s="70">
        <f t="shared" si="24"/>
        <v>1200000</v>
      </c>
    </row>
    <row r="73" outlineLevel="1">
      <c r="A73" s="12" t="s">
        <v>530</v>
      </c>
      <c r="B73" s="71">
        <f t="shared" ref="B73:Y73" si="28">SUM(B68:B72)</f>
        <v>591458.9928</v>
      </c>
      <c r="C73" s="71">
        <f t="shared" si="28"/>
        <v>626654.9163</v>
      </c>
      <c r="D73" s="71">
        <f t="shared" si="28"/>
        <v>672997.1293</v>
      </c>
      <c r="E73" s="71">
        <f t="shared" si="28"/>
        <v>710075.9378</v>
      </c>
      <c r="F73" s="71">
        <f t="shared" si="28"/>
        <v>724008.428</v>
      </c>
      <c r="G73" s="71">
        <f t="shared" si="28"/>
        <v>734404.1262</v>
      </c>
      <c r="H73" s="71">
        <f t="shared" si="28"/>
        <v>728509.6738</v>
      </c>
      <c r="I73" s="71">
        <f t="shared" si="28"/>
        <v>723216.2545</v>
      </c>
      <c r="J73" s="71">
        <f t="shared" si="28"/>
        <v>718018.7894</v>
      </c>
      <c r="K73" s="71">
        <f t="shared" si="28"/>
        <v>712913.7279</v>
      </c>
      <c r="L73" s="71">
        <f t="shared" si="28"/>
        <v>707897.6531</v>
      </c>
      <c r="M73" s="71">
        <f t="shared" si="28"/>
        <v>695428.3644</v>
      </c>
      <c r="N73" s="71">
        <f t="shared" si="28"/>
        <v>757202.7717</v>
      </c>
      <c r="O73" s="71">
        <f t="shared" si="28"/>
        <v>779274.2586</v>
      </c>
      <c r="P73" s="71">
        <f t="shared" si="28"/>
        <v>806067.056</v>
      </c>
      <c r="Q73" s="71">
        <f t="shared" si="28"/>
        <v>815947.9439</v>
      </c>
      <c r="R73" s="71">
        <f t="shared" si="28"/>
        <v>810912.2746</v>
      </c>
      <c r="S73" s="71">
        <f t="shared" si="28"/>
        <v>805855.3684</v>
      </c>
      <c r="T73" s="71">
        <f t="shared" si="28"/>
        <v>801648.5457</v>
      </c>
      <c r="U73" s="71">
        <f t="shared" si="28"/>
        <v>788047.0109</v>
      </c>
      <c r="V73" s="71">
        <f t="shared" si="28"/>
        <v>774762.2454</v>
      </c>
      <c r="W73" s="71">
        <f t="shared" si="28"/>
        <v>763556.7578</v>
      </c>
      <c r="X73" s="71">
        <f t="shared" si="28"/>
        <v>752619.7727</v>
      </c>
      <c r="Y73" s="71">
        <f t="shared" si="28"/>
        <v>744728.2193</v>
      </c>
      <c r="Z73" s="71">
        <f t="shared" si="23"/>
        <v>8345583.993</v>
      </c>
      <c r="AA73" s="71">
        <f t="shared" si="24"/>
        <v>9400622.225</v>
      </c>
    </row>
    <row r="74" outlineLevel="1">
      <c r="A74" s="6" t="s">
        <v>531</v>
      </c>
      <c r="B74" s="70">
        <f t="shared" ref="B74:Y74" si="29">B56+B57+B58</f>
        <v>403540.6858</v>
      </c>
      <c r="C74" s="70">
        <f t="shared" si="29"/>
        <v>396112.9646</v>
      </c>
      <c r="D74" s="70">
        <f t="shared" si="29"/>
        <v>453964.3829</v>
      </c>
      <c r="E74" s="70">
        <f t="shared" si="29"/>
        <v>508146.0855</v>
      </c>
      <c r="F74" s="70">
        <f t="shared" si="29"/>
        <v>497450.5767</v>
      </c>
      <c r="G74" s="70">
        <f t="shared" si="29"/>
        <v>519567.7833</v>
      </c>
      <c r="H74" s="70">
        <f t="shared" si="29"/>
        <v>540018.712</v>
      </c>
      <c r="I74" s="70">
        <f t="shared" si="29"/>
        <v>562303.3879</v>
      </c>
      <c r="J74" s="70">
        <f t="shared" si="29"/>
        <v>583953.8866</v>
      </c>
      <c r="K74" s="70">
        <f t="shared" si="29"/>
        <v>604981.435</v>
      </c>
      <c r="L74" s="70">
        <f t="shared" si="29"/>
        <v>625397.1249</v>
      </c>
      <c r="M74" s="70">
        <f t="shared" si="29"/>
        <v>612902.2854</v>
      </c>
      <c r="N74" s="70">
        <f t="shared" si="29"/>
        <v>600686.6199</v>
      </c>
      <c r="O74" s="70">
        <f t="shared" si="29"/>
        <v>588743.2754</v>
      </c>
      <c r="P74" s="70">
        <f t="shared" si="29"/>
        <v>609631.0028</v>
      </c>
      <c r="Q74" s="70">
        <f t="shared" si="29"/>
        <v>628870.4886</v>
      </c>
      <c r="R74" s="70">
        <f t="shared" si="29"/>
        <v>660412.4837</v>
      </c>
      <c r="S74" s="70">
        <f t="shared" si="29"/>
        <v>690613.4896</v>
      </c>
      <c r="T74" s="70">
        <f t="shared" si="29"/>
        <v>719511.2907</v>
      </c>
      <c r="U74" s="70">
        <f t="shared" si="29"/>
        <v>705001.2207</v>
      </c>
      <c r="V74" s="70">
        <f t="shared" si="29"/>
        <v>690813.5875</v>
      </c>
      <c r="W74" s="70">
        <f t="shared" si="29"/>
        <v>676940.5894</v>
      </c>
      <c r="X74" s="70">
        <f t="shared" si="29"/>
        <v>663374.6265</v>
      </c>
      <c r="Y74" s="70">
        <f t="shared" si="29"/>
        <v>650108.2947</v>
      </c>
      <c r="Z74" s="70">
        <f t="shared" si="23"/>
        <v>6308339.311</v>
      </c>
      <c r="AA74" s="70">
        <f t="shared" si="24"/>
        <v>7884706.969</v>
      </c>
    </row>
    <row r="75" outlineLevel="1">
      <c r="A75" s="6" t="s">
        <v>543</v>
      </c>
      <c r="B75" s="70">
        <f>ARR!B76</f>
        <v>420790.6858</v>
      </c>
      <c r="C75" s="70">
        <f>ARR!C76</f>
        <v>414785.4461</v>
      </c>
      <c r="D75" s="70">
        <f>ARR!D76</f>
        <v>474051.6516</v>
      </c>
      <c r="E75" s="70">
        <f>ARR!E76</f>
        <v>529369.1159</v>
      </c>
      <c r="F75" s="70">
        <f>ARR!F76</f>
        <v>519547.4192</v>
      </c>
      <c r="G75" s="70">
        <f>ARR!G76</f>
        <v>542548.5144</v>
      </c>
      <c r="H75" s="70">
        <f>ARR!H76</f>
        <v>563757.249</v>
      </c>
      <c r="I75" s="70">
        <f>ARR!I76</f>
        <v>586681.7095</v>
      </c>
      <c r="J75" s="70">
        <f>ARR!J76</f>
        <v>609160.0644</v>
      </c>
      <c r="K75" s="70">
        <f>ARR!K76</f>
        <v>631199.125</v>
      </c>
      <c r="L75" s="70">
        <f>ARR!L76</f>
        <v>652805.6649</v>
      </c>
      <c r="M75" s="70">
        <f>ARR!M76</f>
        <v>641676.7911</v>
      </c>
      <c r="N75" s="70">
        <f>ARR!N76</f>
        <v>630836.5305</v>
      </c>
      <c r="O75" s="70">
        <f>ARR!O76</f>
        <v>620277.5319</v>
      </c>
      <c r="P75" s="70">
        <f>ARR!P76</f>
        <v>642558.0681</v>
      </c>
      <c r="Q75" s="70">
        <f>ARR!Q76</f>
        <v>663062.6771</v>
      </c>
      <c r="R75" s="70">
        <f>ARR!R76</f>
        <v>695750.1826</v>
      </c>
      <c r="S75" s="70">
        <f>ARR!S76</f>
        <v>727298.3134</v>
      </c>
      <c r="T75" s="70">
        <f>ARR!T76</f>
        <v>757738.119</v>
      </c>
      <c r="U75" s="70">
        <f>ARR!U76</f>
        <v>744958.386</v>
      </c>
      <c r="V75" s="70">
        <f>ARR!V76</f>
        <v>732507.4693</v>
      </c>
      <c r="W75" s="70">
        <f>ARR!W76</f>
        <v>720377.1212</v>
      </c>
      <c r="X75" s="70">
        <f>ARR!X76</f>
        <v>708559.3151</v>
      </c>
      <c r="Y75" s="70">
        <f>ARR!Y76</f>
        <v>697046.2394</v>
      </c>
      <c r="Z75" s="70">
        <f t="shared" si="23"/>
        <v>6586373.437</v>
      </c>
      <c r="AA75" s="70">
        <f t="shared" si="24"/>
        <v>8340969.953</v>
      </c>
    </row>
    <row r="76">
      <c r="A76" s="3"/>
    </row>
    <row r="77">
      <c r="A77" s="4" t="s">
        <v>373</v>
      </c>
      <c r="B77" s="46"/>
      <c r="C77" s="46"/>
      <c r="D77" s="46"/>
      <c r="E77" s="46"/>
      <c r="F77" s="46"/>
      <c r="G77" s="46"/>
      <c r="H77" s="46"/>
      <c r="I77" s="46"/>
      <c r="J77" s="46"/>
      <c r="K77" s="46"/>
      <c r="L77" s="46"/>
      <c r="M77" s="46"/>
      <c r="N77" s="46"/>
      <c r="O77" s="46"/>
      <c r="P77" s="46"/>
      <c r="Q77" s="46"/>
      <c r="R77" s="46"/>
      <c r="S77" s="46"/>
      <c r="T77" s="46"/>
      <c r="U77" s="46"/>
      <c r="V77" s="46"/>
      <c r="W77" s="46"/>
      <c r="X77" s="46"/>
      <c r="Y77" s="46"/>
      <c r="Z77" s="46"/>
      <c r="AA77" s="46"/>
    </row>
    <row r="78">
      <c r="A78" s="6" t="s">
        <v>544</v>
      </c>
    </row>
    <row r="79">
      <c r="A79" s="6" t="s">
        <v>545</v>
      </c>
    </row>
    <row r="80">
      <c r="A80" s="6" t="s">
        <v>546</v>
      </c>
    </row>
    <row r="81">
      <c r="A81" s="6" t="s">
        <v>547</v>
      </c>
    </row>
    <row r="82">
      <c r="A82" s="6" t="s">
        <v>548</v>
      </c>
    </row>
    <row r="83">
      <c r="A83" s="6" t="s">
        <v>549</v>
      </c>
    </row>
    <row r="84">
      <c r="A84" s="6" t="s">
        <v>550</v>
      </c>
    </row>
    <row r="85">
      <c r="A85" s="6" t="s">
        <v>551</v>
      </c>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1" max="1" width="108.71"/>
    <col customWidth="1" min="2" max="2" width="24.43"/>
    <col customWidth="1" min="3" max="3" width="28.71"/>
    <col customWidth="1" min="4" max="5" width="17.29"/>
  </cols>
  <sheetData>
    <row r="1">
      <c r="A1" s="101" t="s">
        <v>552</v>
      </c>
    </row>
    <row r="2">
      <c r="A2" s="3"/>
    </row>
    <row r="3">
      <c r="A3" s="4" t="s">
        <v>553</v>
      </c>
      <c r="B3" s="46"/>
      <c r="C3" s="46"/>
      <c r="D3" s="46"/>
      <c r="E3" s="46"/>
    </row>
    <row r="4">
      <c r="A4" s="6" t="s">
        <v>554</v>
      </c>
    </row>
    <row r="5">
      <c r="A5" s="6" t="s">
        <v>555</v>
      </c>
    </row>
    <row r="6">
      <c r="A6" s="6" t="s">
        <v>556</v>
      </c>
    </row>
    <row r="7">
      <c r="A7" s="6" t="s">
        <v>557</v>
      </c>
    </row>
    <row r="8">
      <c r="A8" s="6" t="s">
        <v>558</v>
      </c>
    </row>
    <row r="9">
      <c r="A9" s="6" t="s">
        <v>559</v>
      </c>
    </row>
    <row r="10">
      <c r="A10" s="6" t="s">
        <v>560</v>
      </c>
    </row>
    <row r="11">
      <c r="A11" s="6" t="s">
        <v>561</v>
      </c>
    </row>
    <row r="12">
      <c r="A12" s="3"/>
    </row>
    <row r="13">
      <c r="A13" s="4" t="s">
        <v>40</v>
      </c>
      <c r="B13" s="46"/>
      <c r="C13" s="46"/>
      <c r="D13" s="46"/>
      <c r="E13" s="46"/>
    </row>
    <row r="14">
      <c r="A14" s="6" t="s">
        <v>562</v>
      </c>
    </row>
    <row r="15">
      <c r="A15" s="6" t="s">
        <v>563</v>
      </c>
    </row>
    <row r="16">
      <c r="A16" s="6" t="s">
        <v>564</v>
      </c>
    </row>
    <row r="17">
      <c r="A17" s="6" t="s">
        <v>565</v>
      </c>
    </row>
    <row r="18">
      <c r="A18" s="6" t="s">
        <v>566</v>
      </c>
    </row>
    <row r="19">
      <c r="A19" s="6" t="s">
        <v>567</v>
      </c>
    </row>
    <row r="20">
      <c r="A20" s="6" t="s">
        <v>568</v>
      </c>
    </row>
    <row r="21">
      <c r="A21" s="3"/>
    </row>
    <row r="22">
      <c r="A22" s="4" t="s">
        <v>569</v>
      </c>
      <c r="B22" s="46"/>
      <c r="C22" s="46"/>
      <c r="D22" s="46"/>
      <c r="E22" s="46"/>
    </row>
    <row r="23">
      <c r="A23" s="6" t="s">
        <v>570</v>
      </c>
    </row>
    <row r="24">
      <c r="A24" s="6" t="s">
        <v>571</v>
      </c>
    </row>
    <row r="25">
      <c r="A25" s="3"/>
    </row>
    <row r="26">
      <c r="A26" s="4" t="s">
        <v>572</v>
      </c>
      <c r="B26" s="46"/>
      <c r="C26" s="46"/>
      <c r="D26" s="46"/>
      <c r="E26" s="46"/>
    </row>
    <row r="27">
      <c r="A27" s="6" t="s">
        <v>573</v>
      </c>
    </row>
    <row r="28">
      <c r="A28" s="6" t="s">
        <v>574</v>
      </c>
    </row>
    <row r="29">
      <c r="A29" s="6" t="s">
        <v>575</v>
      </c>
    </row>
    <row r="30">
      <c r="A30" s="6" t="s">
        <v>576</v>
      </c>
    </row>
    <row r="31">
      <c r="A31" s="3"/>
    </row>
    <row r="32">
      <c r="A32" s="4" t="s">
        <v>577</v>
      </c>
      <c r="B32" s="46"/>
      <c r="C32" s="46"/>
      <c r="D32" s="46"/>
      <c r="E32" s="46"/>
    </row>
    <row r="33">
      <c r="A33" s="6" t="s">
        <v>578</v>
      </c>
    </row>
    <row r="34">
      <c r="A34" s="6" t="s">
        <v>579</v>
      </c>
    </row>
    <row r="35">
      <c r="A35" s="6" t="s">
        <v>580</v>
      </c>
    </row>
    <row r="36">
      <c r="A36" s="6" t="s">
        <v>581</v>
      </c>
    </row>
    <row r="37">
      <c r="A37" s="6" t="s">
        <v>582</v>
      </c>
    </row>
    <row r="38">
      <c r="A38" s="6" t="s">
        <v>583</v>
      </c>
    </row>
    <row r="39">
      <c r="A39" s="6" t="s">
        <v>584</v>
      </c>
    </row>
    <row r="40">
      <c r="A40" s="3"/>
    </row>
    <row r="41">
      <c r="A41" s="4" t="s">
        <v>585</v>
      </c>
      <c r="B41" s="46"/>
      <c r="C41" s="46"/>
      <c r="D41" s="46"/>
      <c r="E41" s="46"/>
    </row>
    <row r="42">
      <c r="A42" s="6" t="s">
        <v>586</v>
      </c>
    </row>
    <row r="43">
      <c r="A43" s="6" t="s">
        <v>587</v>
      </c>
    </row>
    <row r="44">
      <c r="A44" s="6" t="s">
        <v>588</v>
      </c>
    </row>
    <row r="45">
      <c r="A45" s="6" t="s">
        <v>589</v>
      </c>
    </row>
    <row r="46">
      <c r="A46" s="6" t="s">
        <v>590</v>
      </c>
    </row>
    <row r="47">
      <c r="A47" s="6" t="s">
        <v>591</v>
      </c>
    </row>
    <row r="48">
      <c r="A48" s="6" t="s">
        <v>592</v>
      </c>
    </row>
    <row r="49">
      <c r="A49" s="6" t="s">
        <v>593</v>
      </c>
    </row>
    <row r="50">
      <c r="A50" s="3"/>
    </row>
    <row r="51">
      <c r="A51" s="4" t="s">
        <v>594</v>
      </c>
      <c r="B51" s="46"/>
      <c r="C51" s="46"/>
      <c r="D51" s="46"/>
      <c r="E51" s="46"/>
    </row>
    <row r="52">
      <c r="A52" s="6" t="s">
        <v>595</v>
      </c>
    </row>
    <row r="53">
      <c r="A53" s="6" t="s">
        <v>596</v>
      </c>
    </row>
    <row r="54">
      <c r="A54" s="6" t="s">
        <v>597</v>
      </c>
    </row>
    <row r="55">
      <c r="A55" s="6" t="s">
        <v>598</v>
      </c>
    </row>
    <row r="56">
      <c r="A56" s="6" t="s">
        <v>599</v>
      </c>
    </row>
    <row r="57">
      <c r="A57" s="6" t="s">
        <v>600</v>
      </c>
    </row>
    <row r="58">
      <c r="A58" s="3"/>
    </row>
    <row r="59">
      <c r="A59" s="4" t="s">
        <v>601</v>
      </c>
      <c r="B59" s="46"/>
      <c r="C59" s="46"/>
      <c r="D59" s="46"/>
      <c r="E59" s="46"/>
    </row>
    <row r="60">
      <c r="A60" s="6" t="s">
        <v>602</v>
      </c>
    </row>
    <row r="61">
      <c r="A61" s="6" t="s">
        <v>603</v>
      </c>
    </row>
    <row r="62">
      <c r="A62" s="3"/>
    </row>
    <row r="63">
      <c r="A63" s="4" t="s">
        <v>604</v>
      </c>
      <c r="B63" s="46"/>
      <c r="C63" s="46"/>
      <c r="D63" s="46"/>
      <c r="E63" s="46"/>
    </row>
    <row r="64">
      <c r="A64" s="6" t="s">
        <v>605</v>
      </c>
    </row>
    <row r="65">
      <c r="A65" s="6" t="s">
        <v>606</v>
      </c>
    </row>
    <row r="66">
      <c r="A66" s="6" t="s">
        <v>607</v>
      </c>
    </row>
    <row r="67">
      <c r="A67" s="6" t="s">
        <v>608</v>
      </c>
    </row>
    <row r="68">
      <c r="A68" s="6" t="s">
        <v>609</v>
      </c>
    </row>
    <row r="69">
      <c r="A69" s="6" t="s">
        <v>610</v>
      </c>
    </row>
    <row r="70">
      <c r="A70" s="3"/>
    </row>
    <row r="71">
      <c r="A71" s="4" t="s">
        <v>611</v>
      </c>
      <c r="B71" s="46"/>
      <c r="C71" s="46"/>
      <c r="D71" s="46"/>
      <c r="E71" s="46"/>
    </row>
    <row r="72">
      <c r="A72" s="6" t="s">
        <v>612</v>
      </c>
    </row>
    <row r="73">
      <c r="A73" s="6" t="s">
        <v>613</v>
      </c>
    </row>
    <row r="74">
      <c r="A74" s="6" t="s">
        <v>614</v>
      </c>
    </row>
    <row r="75">
      <c r="A75" s="6" t="s">
        <v>615</v>
      </c>
    </row>
    <row r="76">
      <c r="A76" s="6" t="s">
        <v>616</v>
      </c>
    </row>
    <row r="77">
      <c r="A77" s="6" t="s">
        <v>617</v>
      </c>
    </row>
    <row r="78">
      <c r="A78" s="6" t="s">
        <v>618</v>
      </c>
    </row>
    <row r="79">
      <c r="A79" s="6" t="s">
        <v>619</v>
      </c>
    </row>
    <row r="80">
      <c r="A80" s="6" t="s">
        <v>620</v>
      </c>
    </row>
    <row r="81">
      <c r="A81" s="3"/>
    </row>
    <row r="82">
      <c r="A82" s="4" t="s">
        <v>621</v>
      </c>
      <c r="B82" s="46"/>
      <c r="C82" s="46"/>
      <c r="D82" s="46"/>
      <c r="E82" s="46"/>
    </row>
    <row r="83">
      <c r="A83" s="12" t="s">
        <v>161</v>
      </c>
      <c r="B83" s="102" t="s">
        <v>622</v>
      </c>
      <c r="C83" s="103" t="s">
        <v>623</v>
      </c>
      <c r="D83" s="103" t="s">
        <v>624</v>
      </c>
      <c r="E83" s="103" t="s">
        <v>625</v>
      </c>
    </row>
    <row r="84">
      <c r="A84" s="6" t="s">
        <v>117</v>
      </c>
      <c r="B84" s="104">
        <f>Inputs!$B$8</f>
        <v>9000000</v>
      </c>
      <c r="C84" s="105"/>
      <c r="D84" s="105"/>
      <c r="E84" s="105"/>
    </row>
    <row r="85">
      <c r="A85" s="6" t="s">
        <v>121</v>
      </c>
      <c r="B85" s="104">
        <f>Inputs!$B$9</f>
        <v>6000000</v>
      </c>
      <c r="C85" s="105"/>
      <c r="D85" s="105"/>
      <c r="E85" s="105"/>
    </row>
    <row r="86">
      <c r="A86" s="6" t="s">
        <v>124</v>
      </c>
      <c r="B86" s="104">
        <f>Inputs!$B$10</f>
        <v>8000000</v>
      </c>
      <c r="C86" s="105"/>
      <c r="D86" s="105"/>
      <c r="E86" s="105"/>
    </row>
    <row r="87">
      <c r="A87" s="6" t="s">
        <v>626</v>
      </c>
      <c r="B87" s="57" t="str">
        <f>TEXT(Inputs!$B$18,"0.0%")&amp;" / "&amp;TEXT(Inputs!$C$18,"0.0%")&amp;" / "&amp;TEXT(Inputs!$D$18,"0.0%")</f>
        <v>30.0% / 40.0% / 30.0%</v>
      </c>
      <c r="C87" s="105"/>
      <c r="D87" s="105"/>
      <c r="E87" s="105"/>
    </row>
    <row r="88">
      <c r="A88" s="6" t="s">
        <v>627</v>
      </c>
      <c r="B88" s="57" t="str">
        <f>TEXT(Inputs!$B$20,"0.0%")&amp;" / "&amp;TEXT(Inputs!$C$20,"0.0%")&amp;" / "&amp;TEXT(Inputs!$D$20,"0.0%")</f>
        <v>30.0% / 35.0% / 35.0%</v>
      </c>
      <c r="C88" s="105"/>
      <c r="D88" s="105"/>
      <c r="E88" s="105"/>
    </row>
    <row r="89">
      <c r="A89" s="6" t="s">
        <v>628</v>
      </c>
      <c r="B89" s="57" t="str">
        <f>TEXT(Inputs!$B$24,"0.0%")&amp;" / "&amp;TEXT(Inputs!$C$24,"0.0%")&amp;" / "&amp;TEXT(Inputs!$D$24,"0.0%")</f>
        <v>30.0% / 25.0% / 20.0%</v>
      </c>
      <c r="C89" s="105"/>
      <c r="D89" s="105"/>
      <c r="E89" s="105"/>
    </row>
    <row r="90">
      <c r="A90" s="6" t="s">
        <v>251</v>
      </c>
      <c r="B90" s="57" t="str">
        <f>TEXT(Inputs!$B$25,"#,##0")&amp;" / "&amp;TEXT(Inputs!$C$25,"#,##0")&amp;" / "&amp;TEXT(Inputs!$D$25,"#,##0")</f>
        <v>4,800 / 24,000 / 150,000</v>
      </c>
      <c r="C90" s="105"/>
      <c r="D90" s="105"/>
      <c r="E90" s="105"/>
    </row>
    <row r="91">
      <c r="A91" s="6" t="s">
        <v>245</v>
      </c>
      <c r="B91" s="57" t="str">
        <f>TEXT(Inputs!$B$26,"#,##0")&amp;" / "&amp;TEXT(Inputs!$C$26,"#,##0")&amp;" / "&amp;TEXT(Inputs!$D$26,"#,##0")</f>
        <v>60 / 60 / 60</v>
      </c>
      <c r="C91" s="105"/>
      <c r="D91" s="105"/>
      <c r="E91" s="105"/>
    </row>
    <row r="92">
      <c r="A92" s="6" t="s">
        <v>247</v>
      </c>
      <c r="B92" s="57" t="str">
        <f>TEXT(Inputs!$B$27,"0.0")&amp;" / "&amp;TEXT(Inputs!$C$27,"0.0")&amp;" / "&amp;TEXT(Inputs!$D$27,"0.0")</f>
        <v>2.5 / 7.5 / 24.0</v>
      </c>
      <c r="C92" s="105"/>
      <c r="D92" s="105"/>
      <c r="E92" s="105"/>
    </row>
    <row r="93">
      <c r="A93" s="6" t="s">
        <v>173</v>
      </c>
      <c r="B93" s="57" t="str">
        <f>TEXT(Inputs!$B$28,"0.0%")&amp;" / "&amp;TEXT(Inputs!$C$28,"0.0%")&amp;" / "&amp;TEXT(Inputs!$D$28,"0.0%")</f>
        <v>85.0% / 80.0% / 75.0%</v>
      </c>
      <c r="C93" s="105"/>
      <c r="D93" s="105"/>
      <c r="E93" s="105"/>
    </row>
    <row r="94">
      <c r="A94" s="6" t="s">
        <v>175</v>
      </c>
      <c r="B94" s="57" t="str">
        <f>TEXT(Inputs!$B$29,"#,##0")&amp;" / "&amp;TEXT(Inputs!$C$29,"#,##0")&amp;" / "&amp;TEXT(Inputs!$D$29,"#,##0")</f>
        <v>115,000 / 160,000 / 280,000</v>
      </c>
      <c r="C94" s="105"/>
      <c r="D94" s="105"/>
      <c r="E94" s="105"/>
    </row>
    <row r="95">
      <c r="A95" s="6" t="s">
        <v>629</v>
      </c>
      <c r="B95" s="57" t="str">
        <f>TEXT(Inputs!$B$30,"#,##0")&amp;" / "&amp;TEXT(Inputs!$C$30,"#,##0")&amp;" / "&amp;TEXT(Inputs!$D$30,"#,##0")</f>
        <v>1 / 3 / 6</v>
      </c>
      <c r="C95" s="105"/>
      <c r="D95" s="105"/>
      <c r="E95" s="105"/>
    </row>
    <row r="96">
      <c r="A96" s="6" t="s">
        <v>179</v>
      </c>
      <c r="B96" s="57" t="str">
        <f>TEXT(Inputs!$B$31,"#,##0")&amp;" / "&amp;TEXT(Inputs!$C$31,"#,##0")&amp;" / "&amp;TEXT(Inputs!$D$31,"#,##0")</f>
        <v>2 / 4 / 2</v>
      </c>
      <c r="C96" s="105"/>
      <c r="D96" s="105"/>
      <c r="E96" s="105"/>
    </row>
    <row r="97">
      <c r="A97" s="6" t="s">
        <v>630</v>
      </c>
      <c r="B97" s="57" t="str">
        <f>TEXT(Inputs!$B$32,"#,##0")&amp;" / "&amp;TEXT(Inputs!$C$32,"#,##0")&amp;" / "&amp;TEXT(Inputs!$D$32,"#,##0")</f>
        <v>2 / 3 / 4</v>
      </c>
      <c r="C97" s="105"/>
      <c r="D97" s="105"/>
      <c r="E97" s="105"/>
    </row>
    <row r="98">
      <c r="A98" s="6" t="s">
        <v>631</v>
      </c>
      <c r="B98" s="57" t="str">
        <f>TEXT(Inputs!$B$33,"0.0%")&amp;" / "&amp;TEXT(Inputs!$C$33,"0.0%")&amp;" / "&amp;TEXT(Inputs!$D$33,"0.0%")</f>
        <v>0.0% / 0.0% / 0.0%</v>
      </c>
      <c r="C98" s="105"/>
      <c r="D98" s="105"/>
      <c r="E98" s="105"/>
    </row>
    <row r="99">
      <c r="A99" s="6" t="s">
        <v>632</v>
      </c>
      <c r="B99" s="57" t="str">
        <f>TEXT(Inputs!$B$34,"0.0%")&amp;" / "&amp;TEXT(Inputs!$C$34,"0.0%")&amp;" / "&amp;TEXT(Inputs!$D$34,"0.0%")</f>
        <v>30.0% / 20.0% / 15.0%</v>
      </c>
      <c r="C99" s="105"/>
      <c r="D99" s="105"/>
      <c r="E99" s="105"/>
    </row>
    <row r="100">
      <c r="A100" s="6" t="s">
        <v>633</v>
      </c>
      <c r="B100" s="57" t="str">
        <f>TEXT(Inputs!$B$35,"0.0%")&amp;" / "&amp;TEXT(Inputs!$C$35,"0.0%")&amp;" / "&amp;TEXT(Inputs!$D$35,"0.0%")</f>
        <v>12.0% / 8.0% / 4.0%</v>
      </c>
      <c r="C100" s="105"/>
      <c r="D100" s="105"/>
      <c r="E100" s="105"/>
    </row>
    <row r="101">
      <c r="A101" s="6" t="s">
        <v>634</v>
      </c>
      <c r="B101" s="57" t="str">
        <f>TEXT(Inputs!$B$36,"0.0%")&amp;" / "&amp;TEXT(Inputs!$C$36,"0.0%")&amp;" / "&amp;TEXT(Inputs!$D$36,"0.0%")</f>
        <v>3.0% / 2.0% / 2.0%</v>
      </c>
      <c r="C101" s="105"/>
      <c r="D101" s="105"/>
      <c r="E101" s="105"/>
    </row>
    <row r="102">
      <c r="A102" s="6" t="s">
        <v>635</v>
      </c>
      <c r="B102" s="57" t="str">
        <f>TEXT(Inputs!$B$37,"0.0%")&amp;" / "&amp;TEXT(Inputs!$C$37,"0.0%")&amp;" / "&amp;TEXT(Inputs!$D$37,"0.0%")</f>
        <v>10.0% / 15.0% / 12.0%</v>
      </c>
      <c r="C102" s="105"/>
      <c r="D102" s="105"/>
      <c r="E102" s="105"/>
    </row>
    <row r="103">
      <c r="A103" s="6" t="s">
        <v>636</v>
      </c>
      <c r="B103" s="57" t="str">
        <f>TEXT(Inputs!$B$38,"0.0%")&amp;" / "&amp;TEXT(Inputs!$C$38,"0.0%")&amp;" / "&amp;TEXT(Inputs!$D$38,"0.0%")</f>
        <v>25.0% / 25.0% / 30.0%</v>
      </c>
      <c r="C103" s="105"/>
      <c r="D103" s="105"/>
      <c r="E103" s="105"/>
    </row>
    <row r="104">
      <c r="A104" s="6" t="s">
        <v>637</v>
      </c>
      <c r="B104" s="57" t="str">
        <f>TEXT(Inputs!$B$39,"0.0%")&amp;" / "&amp;TEXT(Inputs!$C$39,"0.0%")&amp;" / "&amp;TEXT(Inputs!$D$39,"0.0%")</f>
        <v>28.0% / 25.0% / 30.0%</v>
      </c>
      <c r="C104" s="105"/>
      <c r="D104" s="105"/>
      <c r="E104" s="105"/>
    </row>
    <row r="105">
      <c r="A105" s="6" t="s">
        <v>638</v>
      </c>
      <c r="B105" s="57" t="str">
        <f>TEXT(Inputs!$E$40,"0.00")&amp;"x"&amp;" / "&amp;TEXT(Inputs!$F$40,"0.00")&amp;"x"&amp;" / "&amp;TEXT(Inputs!$G$40,"0.00")&amp;"x"</f>
        <v>1.00x / 1.00x / 1.00x</v>
      </c>
      <c r="C105" s="105"/>
      <c r="D105" s="105"/>
      <c r="E105" s="105"/>
    </row>
    <row r="106">
      <c r="A106" s="6" t="s">
        <v>639</v>
      </c>
      <c r="B106" s="106">
        <f>Inputs!$B$12</f>
        <v>1</v>
      </c>
      <c r="C106" s="105"/>
      <c r="D106" s="105"/>
      <c r="E106" s="105"/>
    </row>
    <row r="107">
      <c r="A107" s="6" t="s">
        <v>640</v>
      </c>
      <c r="B107" s="58">
        <f>Inputs!$B$13</f>
        <v>1.15</v>
      </c>
      <c r="C107" s="105"/>
      <c r="D107" s="105"/>
      <c r="E107" s="105"/>
    </row>
    <row r="108">
      <c r="A108" s="6" t="s">
        <v>641</v>
      </c>
      <c r="B108" s="57" t="str">
        <f>TEXT(Inputs!$B$14,"#,##0")&amp;" / "&amp;TEXT(Inputs!$C$14,"#,##0")&amp;" / "&amp;TEXT(Inputs!$D$14,"#,##0")</f>
        <v>4 / 4 / 4</v>
      </c>
      <c r="C108" s="105"/>
      <c r="D108" s="105"/>
      <c r="E108" s="105"/>
    </row>
    <row r="109">
      <c r="A109" s="6" t="s">
        <v>140</v>
      </c>
      <c r="B109" s="107">
        <f>Inputs!$B$15</f>
        <v>3</v>
      </c>
      <c r="C109" s="105"/>
      <c r="D109" s="105"/>
      <c r="E109" s="105"/>
    </row>
    <row r="110">
      <c r="A110" s="6" t="s">
        <v>143</v>
      </c>
      <c r="B110" s="107">
        <f>Inputs!$B$16</f>
        <v>1</v>
      </c>
      <c r="C110" s="105"/>
      <c r="D110" s="105"/>
      <c r="E110" s="105"/>
    </row>
    <row r="111">
      <c r="A111" s="6" t="s">
        <v>642</v>
      </c>
      <c r="B111" s="57" t="str">
        <f>TEXT(Inputs!$E$42,"0.0%")&amp;" / "&amp;TEXT(Inputs!$F$42,"0.0%")&amp;" / "&amp;TEXT(Inputs!$G$42,"0.0%")</f>
        <v>100.0% / 100.0% / 100.0%</v>
      </c>
      <c r="C111" s="105"/>
      <c r="D111" s="105"/>
      <c r="E111" s="105"/>
    </row>
    <row r="112">
      <c r="A112" s="6" t="s">
        <v>218</v>
      </c>
      <c r="B112" s="57" t="str">
        <f>TEXT(Inputs!$B$48,"0.0%")&amp;" / "&amp;TEXT(Inputs!$C$48,"0.0%")&amp;" / "&amp;TEXT(Inputs!$D$48,"0.0%")</f>
        <v>50.0% / 50.0% / 50.0%</v>
      </c>
      <c r="C112" s="105"/>
      <c r="D112" s="105"/>
      <c r="E112" s="105"/>
    </row>
    <row r="113">
      <c r="A113" s="6" t="s">
        <v>643</v>
      </c>
      <c r="B113" s="57" t="str">
        <f>TEXT(Inputs!$B$49,"#,##0")&amp;" / "&amp;TEXT(Inputs!$C$49,"#,##0")&amp;" / "&amp;TEXT(Inputs!$D$49,"#,##0")</f>
        <v>50 / 150 / 800</v>
      </c>
      <c r="C113" s="105"/>
      <c r="D113" s="105"/>
      <c r="E113" s="105"/>
    </row>
    <row r="114">
      <c r="A114" s="6" t="s">
        <v>644</v>
      </c>
      <c r="B114" s="58">
        <f>Inputs!$B$50</f>
        <v>1.25</v>
      </c>
      <c r="C114" s="105"/>
      <c r="D114" s="105"/>
      <c r="E114" s="105"/>
    </row>
    <row r="115">
      <c r="A115" s="6" t="s">
        <v>224</v>
      </c>
      <c r="B115" s="108">
        <f>Inputs!$B$51</f>
        <v>1</v>
      </c>
      <c r="C115" s="105"/>
      <c r="D115" s="105"/>
      <c r="E115" s="105"/>
    </row>
    <row r="116">
      <c r="A116" s="6" t="s">
        <v>226</v>
      </c>
      <c r="B116" s="104">
        <f>Inputs!$B$52</f>
        <v>100000</v>
      </c>
      <c r="C116" s="105"/>
      <c r="D116" s="105"/>
      <c r="E116" s="105"/>
    </row>
    <row r="117">
      <c r="A117" s="6" t="s">
        <v>228</v>
      </c>
      <c r="B117" s="108">
        <f>Inputs!$B$53</f>
        <v>0.75</v>
      </c>
      <c r="C117" s="105"/>
      <c r="D117" s="105"/>
      <c r="E117" s="105"/>
    </row>
  </sheetData>
  <drawing r:id="rId1"/>
</worksheet>
</file>